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804\Documents\MTP\"/>
    </mc:Choice>
  </mc:AlternateContent>
  <bookViews>
    <workbookView xWindow="0" yWindow="0" windowWidth="23040" windowHeight="9195"/>
  </bookViews>
  <sheets>
    <sheet name="Table 1" sheetId="1" r:id="rId1"/>
    <sheet name="Phase 1" sheetId="2" r:id="rId2"/>
    <sheet name="Phase 2" sheetId="15" r:id="rId3"/>
    <sheet name="Phase 3" sheetId="16" r:id="rId4"/>
    <sheet name="Phase 4" sheetId="20" r:id="rId5"/>
    <sheet name="Phase 5" sheetId="21" r:id="rId6"/>
    <sheet name="Phase 6" sheetId="22" r:id="rId7"/>
    <sheet name="Vanpool" sheetId="12" r:id="rId8"/>
    <sheet name="Funding" sheetId="13" r:id="rId9"/>
    <sheet name="Formulas &amp; References" sheetId="9" r:id="rId10"/>
  </sheets>
  <externalReferences>
    <externalReference r:id="rId11"/>
  </externalReferences>
  <definedNames>
    <definedName name="_xlnm.Print_Area" localSheetId="0">'Table 1'!$B$7:$AH$31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AE8" i="13"/>
  <c r="U8" i="13"/>
  <c r="G7" i="13"/>
  <c r="G8" i="13"/>
  <c r="AE7" i="13"/>
  <c r="U7" i="13"/>
  <c r="Z6" i="13"/>
  <c r="AA6" i="13"/>
  <c r="AB6" i="13"/>
  <c r="AC6" i="13"/>
  <c r="AD6" i="13"/>
  <c r="AE6" i="13"/>
  <c r="AF6" i="13"/>
  <c r="AG6" i="13"/>
  <c r="AH6" i="13"/>
  <c r="AI6" i="13"/>
  <c r="AA5" i="13"/>
  <c r="AB5" i="13"/>
  <c r="AC5" i="13" s="1"/>
  <c r="AA4" i="13"/>
  <c r="Z5" i="13"/>
  <c r="Z4" i="13"/>
  <c r="AA3" i="13"/>
  <c r="AB3" i="13" s="1"/>
  <c r="Z3" i="13"/>
  <c r="P2" i="13"/>
  <c r="O2" i="13" s="1"/>
  <c r="N2" i="13" s="1"/>
  <c r="M2" i="13" s="1"/>
  <c r="L2" i="13" s="1"/>
  <c r="K2" i="13" s="1"/>
  <c r="J2" i="13" s="1"/>
  <c r="I2" i="13" s="1"/>
  <c r="H2" i="13" s="1"/>
  <c r="G2" i="13" s="1"/>
  <c r="F2" i="13" s="1"/>
  <c r="E2" i="13" s="1"/>
  <c r="X2" i="13"/>
  <c r="W2" i="13" s="1"/>
  <c r="V2" i="13" s="1"/>
  <c r="U2" i="13" s="1"/>
  <c r="T2" i="13" s="1"/>
  <c r="S2" i="13" s="1"/>
  <c r="R2" i="13" s="1"/>
  <c r="Q2" i="13" s="1"/>
  <c r="Y2" i="13"/>
  <c r="AG2" i="13"/>
  <c r="AH2" i="13" s="1"/>
  <c r="AI2" i="13" s="1"/>
  <c r="AB2" i="13"/>
  <c r="AC2" i="13" s="1"/>
  <c r="AD2" i="13" s="1"/>
  <c r="AE2" i="13" s="1"/>
  <c r="AF2" i="13" s="1"/>
  <c r="AA2" i="13"/>
  <c r="U6" i="13"/>
  <c r="V6" i="13"/>
  <c r="W6" i="13"/>
  <c r="X6" i="13"/>
  <c r="Y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D6" i="13"/>
  <c r="AD33" i="1"/>
  <c r="X34" i="1"/>
  <c r="AD5" i="13" l="1"/>
  <c r="AB4" i="13"/>
  <c r="AC4" i="13" s="1"/>
  <c r="AC3" i="13"/>
  <c r="F8" i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E8" i="1"/>
  <c r="AE5" i="13" l="1"/>
  <c r="AE4" i="13"/>
  <c r="AD4" i="13"/>
  <c r="AE3" i="13"/>
  <c r="AD3" i="13"/>
  <c r="AF3" i="13"/>
  <c r="AG3" i="13" s="1"/>
  <c r="U34" i="1"/>
  <c r="U33" i="1"/>
  <c r="V34" i="1"/>
  <c r="V33" i="1"/>
  <c r="X9" i="1"/>
  <c r="Y9" i="1"/>
  <c r="Z9" i="1"/>
  <c r="AA9" i="1"/>
  <c r="AB9" i="1"/>
  <c r="AC9" i="1"/>
  <c r="AD9" i="1"/>
  <c r="AE9" i="1"/>
  <c r="AF9" i="1"/>
  <c r="AG9" i="1"/>
  <c r="AH9" i="1"/>
  <c r="X10" i="1"/>
  <c r="Y10" i="1"/>
  <c r="Z10" i="1"/>
  <c r="AA10" i="1"/>
  <c r="AB10" i="1"/>
  <c r="AC10" i="1"/>
  <c r="AD10" i="1"/>
  <c r="AE10" i="1"/>
  <c r="AF10" i="1"/>
  <c r="AG10" i="1"/>
  <c r="AH10" i="1"/>
  <c r="X11" i="1"/>
  <c r="Y11" i="1"/>
  <c r="Z11" i="1"/>
  <c r="AA11" i="1"/>
  <c r="AB11" i="1"/>
  <c r="AC11" i="1"/>
  <c r="AD11" i="1"/>
  <c r="AE11" i="1"/>
  <c r="AF11" i="1"/>
  <c r="AG11" i="1"/>
  <c r="AH11" i="1"/>
  <c r="X12" i="1"/>
  <c r="Y12" i="1"/>
  <c r="Z12" i="1"/>
  <c r="AA12" i="1"/>
  <c r="AB12" i="1"/>
  <c r="AC12" i="1"/>
  <c r="AD12" i="1"/>
  <c r="AE12" i="1"/>
  <c r="AF12" i="1"/>
  <c r="AG12" i="1"/>
  <c r="AH12" i="1"/>
  <c r="X13" i="1"/>
  <c r="Y13" i="1"/>
  <c r="Z13" i="1"/>
  <c r="AA13" i="1"/>
  <c r="AB13" i="1"/>
  <c r="AC13" i="1"/>
  <c r="AD13" i="1"/>
  <c r="AE13" i="1"/>
  <c r="AF13" i="1"/>
  <c r="AG13" i="1"/>
  <c r="AH13" i="1"/>
  <c r="X14" i="1"/>
  <c r="Y14" i="1"/>
  <c r="Z14" i="1"/>
  <c r="AA14" i="1"/>
  <c r="AB14" i="1"/>
  <c r="AC14" i="1"/>
  <c r="AD14" i="1"/>
  <c r="AE14" i="1"/>
  <c r="AF14" i="1"/>
  <c r="AG14" i="1"/>
  <c r="AH14" i="1"/>
  <c r="X15" i="1"/>
  <c r="Y15" i="1"/>
  <c r="Z15" i="1"/>
  <c r="AA15" i="1"/>
  <c r="AB15" i="1"/>
  <c r="AC15" i="1"/>
  <c r="AD15" i="1"/>
  <c r="AE15" i="1"/>
  <c r="AF15" i="1"/>
  <c r="AG15" i="1"/>
  <c r="AH15" i="1"/>
  <c r="X16" i="1"/>
  <c r="Y16" i="1"/>
  <c r="Z16" i="1"/>
  <c r="AA16" i="1"/>
  <c r="AB16" i="1"/>
  <c r="AC16" i="1"/>
  <c r="AD16" i="1"/>
  <c r="AE16" i="1"/>
  <c r="AF16" i="1"/>
  <c r="AG16" i="1"/>
  <c r="AH16" i="1"/>
  <c r="X17" i="1"/>
  <c r="Y17" i="1"/>
  <c r="Z17" i="1"/>
  <c r="AA17" i="1"/>
  <c r="AB17" i="1"/>
  <c r="AC17" i="1"/>
  <c r="AD17" i="1"/>
  <c r="AE17" i="1"/>
  <c r="AF17" i="1"/>
  <c r="AG17" i="1"/>
  <c r="AH17" i="1"/>
  <c r="X18" i="1"/>
  <c r="Y18" i="1"/>
  <c r="Z18" i="1"/>
  <c r="AA18" i="1"/>
  <c r="AB18" i="1"/>
  <c r="AC18" i="1"/>
  <c r="AD18" i="1"/>
  <c r="AE18" i="1"/>
  <c r="AF18" i="1"/>
  <c r="AG18" i="1"/>
  <c r="AH18" i="1"/>
  <c r="X19" i="1"/>
  <c r="Y19" i="1"/>
  <c r="Z19" i="1"/>
  <c r="AA19" i="1"/>
  <c r="AB19" i="1"/>
  <c r="AC19" i="1"/>
  <c r="AD19" i="1"/>
  <c r="AE19" i="1"/>
  <c r="AF19" i="1"/>
  <c r="AG19" i="1"/>
  <c r="AH19" i="1"/>
  <c r="X20" i="1"/>
  <c r="Y20" i="1"/>
  <c r="Z20" i="1"/>
  <c r="AA20" i="1"/>
  <c r="AB20" i="1"/>
  <c r="AC20" i="1"/>
  <c r="AD20" i="1"/>
  <c r="AE20" i="1"/>
  <c r="AF20" i="1"/>
  <c r="AG20" i="1"/>
  <c r="AH20" i="1"/>
  <c r="X21" i="1"/>
  <c r="Y21" i="1"/>
  <c r="Z21" i="1"/>
  <c r="AA21" i="1"/>
  <c r="AB21" i="1"/>
  <c r="AC21" i="1"/>
  <c r="AD21" i="1"/>
  <c r="AE21" i="1"/>
  <c r="AF21" i="1"/>
  <c r="AG21" i="1"/>
  <c r="AH21" i="1"/>
  <c r="X22" i="1"/>
  <c r="Y22" i="1"/>
  <c r="Z22" i="1"/>
  <c r="AA22" i="1"/>
  <c r="AB22" i="1"/>
  <c r="AC22" i="1"/>
  <c r="AD22" i="1"/>
  <c r="AE22" i="1"/>
  <c r="AF22" i="1"/>
  <c r="AG22" i="1"/>
  <c r="AH22" i="1"/>
  <c r="X23" i="1"/>
  <c r="Y23" i="1"/>
  <c r="Z23" i="1"/>
  <c r="AA23" i="1"/>
  <c r="AB23" i="1"/>
  <c r="AC23" i="1"/>
  <c r="AD23" i="1"/>
  <c r="AE23" i="1"/>
  <c r="AF23" i="1"/>
  <c r="AG23" i="1"/>
  <c r="AH23" i="1"/>
  <c r="X24" i="1"/>
  <c r="Y24" i="1"/>
  <c r="Z24" i="1"/>
  <c r="AA24" i="1"/>
  <c r="AB24" i="1"/>
  <c r="AC24" i="1"/>
  <c r="AD24" i="1"/>
  <c r="AE24" i="1"/>
  <c r="AF24" i="1"/>
  <c r="AG24" i="1"/>
  <c r="AH24" i="1"/>
  <c r="X25" i="1"/>
  <c r="Y25" i="1"/>
  <c r="Z25" i="1"/>
  <c r="AA25" i="1"/>
  <c r="AB25" i="1"/>
  <c r="AC25" i="1"/>
  <c r="AD25" i="1"/>
  <c r="AE25" i="1"/>
  <c r="AF25" i="1"/>
  <c r="AG25" i="1"/>
  <c r="AH25" i="1"/>
  <c r="X26" i="1"/>
  <c r="Y26" i="1"/>
  <c r="Z26" i="1"/>
  <c r="AA26" i="1"/>
  <c r="AB26" i="1"/>
  <c r="AC26" i="1"/>
  <c r="AD26" i="1"/>
  <c r="AE26" i="1"/>
  <c r="AF26" i="1"/>
  <c r="AG26" i="1"/>
  <c r="AH26" i="1"/>
  <c r="X27" i="1"/>
  <c r="Y27" i="1"/>
  <c r="Z27" i="1"/>
  <c r="AA27" i="1"/>
  <c r="AB27" i="1"/>
  <c r="AC27" i="1"/>
  <c r="AD27" i="1"/>
  <c r="AE27" i="1"/>
  <c r="AF27" i="1"/>
  <c r="AG27" i="1"/>
  <c r="AH27" i="1"/>
  <c r="X28" i="1"/>
  <c r="Y28" i="1"/>
  <c r="Z28" i="1"/>
  <c r="AA28" i="1"/>
  <c r="AB28" i="1"/>
  <c r="AC28" i="1"/>
  <c r="AD28" i="1"/>
  <c r="AE28" i="1"/>
  <c r="AF28" i="1"/>
  <c r="AG28" i="1"/>
  <c r="AH28" i="1"/>
  <c r="X29" i="1"/>
  <c r="Y29" i="1"/>
  <c r="Z29" i="1"/>
  <c r="AA29" i="1"/>
  <c r="AB29" i="1"/>
  <c r="AC29" i="1"/>
  <c r="AD29" i="1"/>
  <c r="AE29" i="1"/>
  <c r="AF29" i="1"/>
  <c r="AG29" i="1"/>
  <c r="AH29" i="1"/>
  <c r="AF5" i="13" l="1"/>
  <c r="AG5" i="13" s="1"/>
  <c r="AF4" i="13"/>
  <c r="AH3" i="13"/>
  <c r="AI3" i="13" s="1"/>
  <c r="D13" i="1"/>
  <c r="D14" i="1"/>
  <c r="D15" i="1"/>
  <c r="D16" i="1"/>
  <c r="D17" i="1"/>
  <c r="D18" i="1"/>
  <c r="D19" i="1"/>
  <c r="D27" i="1"/>
  <c r="D31" i="1"/>
  <c r="AH5" i="13" l="1"/>
  <c r="AI5" i="13" s="1"/>
  <c r="AG4" i="13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E43" i="9"/>
  <c r="D43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E40" i="9"/>
  <c r="F40" i="9"/>
  <c r="G40" i="9"/>
  <c r="D41" i="9"/>
  <c r="D40" i="9" s="1"/>
  <c r="E39" i="9"/>
  <c r="F39" i="9" s="1"/>
  <c r="G39" i="9" s="1"/>
  <c r="H39" i="9" s="1"/>
  <c r="I39" i="9" s="1"/>
  <c r="J39" i="9" s="1"/>
  <c r="K39" i="9" s="1"/>
  <c r="L39" i="9" s="1"/>
  <c r="M39" i="9" s="1"/>
  <c r="N39" i="9" s="1"/>
  <c r="O39" i="9" s="1"/>
  <c r="P39" i="9" s="1"/>
  <c r="Q39" i="9" s="1"/>
  <c r="R39" i="9" s="1"/>
  <c r="S39" i="9" s="1"/>
  <c r="T39" i="9" s="1"/>
  <c r="U39" i="9" s="1"/>
  <c r="V39" i="9" s="1"/>
  <c r="W39" i="9" s="1"/>
  <c r="D39" i="9"/>
  <c r="AH4" i="13" l="1"/>
  <c r="AI4" i="13" s="1"/>
  <c r="T26" i="22"/>
  <c r="R26" i="22"/>
  <c r="S26" i="22"/>
  <c r="T25" i="22"/>
  <c r="S25" i="22"/>
  <c r="R25" i="22"/>
  <c r="Q25" i="22"/>
  <c r="Q26" i="22" s="1"/>
  <c r="I25" i="22"/>
  <c r="I26" i="22" s="1"/>
  <c r="S24" i="22"/>
  <c r="Q24" i="22"/>
  <c r="P24" i="22"/>
  <c r="I24" i="22"/>
  <c r="H24" i="22"/>
  <c r="T24" i="22" s="1"/>
  <c r="Q23" i="22"/>
  <c r="P23" i="22" s="1"/>
  <c r="S23" i="22" s="1"/>
  <c r="I23" i="22"/>
  <c r="H23" i="22"/>
  <c r="T23" i="22" s="1"/>
  <c r="Q22" i="22"/>
  <c r="P22" i="22"/>
  <c r="S22" i="22" s="1"/>
  <c r="I22" i="22"/>
  <c r="H22" i="22"/>
  <c r="R22" i="22" s="1"/>
  <c r="S21" i="22"/>
  <c r="Q21" i="22"/>
  <c r="P21" i="22"/>
  <c r="I21" i="22"/>
  <c r="H21" i="22" s="1"/>
  <c r="S20" i="22"/>
  <c r="Q20" i="22"/>
  <c r="P20" i="22"/>
  <c r="I20" i="22"/>
  <c r="H20" i="22"/>
  <c r="T20" i="22" s="1"/>
  <c r="Q19" i="22"/>
  <c r="P19" i="22" s="1"/>
  <c r="S19" i="22" s="1"/>
  <c r="I19" i="22"/>
  <c r="H19" i="22"/>
  <c r="T19" i="22" s="1"/>
  <c r="Q18" i="22"/>
  <c r="P18" i="22"/>
  <c r="S18" i="22" s="1"/>
  <c r="I18" i="22"/>
  <c r="H18" i="22"/>
  <c r="R18" i="22" s="1"/>
  <c r="S17" i="22"/>
  <c r="Q17" i="22"/>
  <c r="P17" i="22"/>
  <c r="I17" i="22"/>
  <c r="H17" i="22" s="1"/>
  <c r="S16" i="22"/>
  <c r="Q16" i="22"/>
  <c r="P16" i="22"/>
  <c r="I16" i="22"/>
  <c r="H16" i="22"/>
  <c r="T16" i="22" s="1"/>
  <c r="Q15" i="22"/>
  <c r="P15" i="22" s="1"/>
  <c r="S15" i="22" s="1"/>
  <c r="I15" i="22"/>
  <c r="H15" i="22"/>
  <c r="T15" i="22" s="1"/>
  <c r="Q14" i="22"/>
  <c r="P14" i="22"/>
  <c r="S14" i="22" s="1"/>
  <c r="I14" i="22"/>
  <c r="H14" i="22"/>
  <c r="R14" i="22" s="1"/>
  <c r="S13" i="22"/>
  <c r="Q13" i="22"/>
  <c r="P13" i="22"/>
  <c r="I13" i="22"/>
  <c r="H13" i="22" s="1"/>
  <c r="S12" i="22"/>
  <c r="Q12" i="22"/>
  <c r="P12" i="22"/>
  <c r="I12" i="22"/>
  <c r="H12" i="22"/>
  <c r="T12" i="22" s="1"/>
  <c r="Q11" i="22"/>
  <c r="P11" i="22" s="1"/>
  <c r="S11" i="22" s="1"/>
  <c r="I11" i="22"/>
  <c r="H11" i="22"/>
  <c r="T11" i="22" s="1"/>
  <c r="Q10" i="22"/>
  <c r="P10" i="22"/>
  <c r="S10" i="22" s="1"/>
  <c r="I10" i="22"/>
  <c r="H10" i="22"/>
  <c r="R10" i="22" s="1"/>
  <c r="S9" i="22"/>
  <c r="Q9" i="22"/>
  <c r="P9" i="22"/>
  <c r="I9" i="22"/>
  <c r="H9" i="22" s="1"/>
  <c r="S8" i="22"/>
  <c r="Q8" i="22"/>
  <c r="P8" i="22"/>
  <c r="I8" i="22"/>
  <c r="H8" i="22"/>
  <c r="T8" i="22" s="1"/>
  <c r="Q7" i="22"/>
  <c r="P7" i="22" s="1"/>
  <c r="S7" i="22" s="1"/>
  <c r="I7" i="22"/>
  <c r="H7" i="22"/>
  <c r="T7" i="22" s="1"/>
  <c r="Q6" i="22"/>
  <c r="P6" i="22"/>
  <c r="S6" i="22" s="1"/>
  <c r="I6" i="22"/>
  <c r="H6" i="22"/>
  <c r="R6" i="22" s="1"/>
  <c r="S5" i="22"/>
  <c r="Q5" i="22"/>
  <c r="P5" i="22"/>
  <c r="I5" i="22"/>
  <c r="T25" i="21"/>
  <c r="T24" i="21"/>
  <c r="T23" i="21"/>
  <c r="T22" i="21"/>
  <c r="T21" i="21"/>
  <c r="S24" i="21"/>
  <c r="S23" i="21"/>
  <c r="S22" i="21"/>
  <c r="S21" i="21"/>
  <c r="R25" i="21"/>
  <c r="R24" i="21"/>
  <c r="R23" i="21"/>
  <c r="R22" i="21"/>
  <c r="R21" i="21"/>
  <c r="Q25" i="21"/>
  <c r="P21" i="21"/>
  <c r="P22" i="21"/>
  <c r="P23" i="21"/>
  <c r="P24" i="21"/>
  <c r="Q21" i="21"/>
  <c r="Q22" i="21"/>
  <c r="Q23" i="21"/>
  <c r="Q24" i="21"/>
  <c r="I25" i="21"/>
  <c r="H24" i="21"/>
  <c r="I24" i="21"/>
  <c r="I23" i="21"/>
  <c r="H23" i="21" s="1"/>
  <c r="H21" i="21"/>
  <c r="H22" i="21"/>
  <c r="I21" i="21"/>
  <c r="I22" i="21"/>
  <c r="Q20" i="21"/>
  <c r="P20" i="21" s="1"/>
  <c r="S20" i="21" s="1"/>
  <c r="I20" i="21"/>
  <c r="H20" i="21"/>
  <c r="R20" i="21" s="1"/>
  <c r="Q19" i="21"/>
  <c r="P19" i="21" s="1"/>
  <c r="S19" i="21" s="1"/>
  <c r="I19" i="21"/>
  <c r="H19" i="21"/>
  <c r="Q18" i="21"/>
  <c r="P18" i="21"/>
  <c r="S18" i="21" s="1"/>
  <c r="I18" i="21"/>
  <c r="H18" i="21" s="1"/>
  <c r="Q17" i="21"/>
  <c r="P17" i="21"/>
  <c r="S17" i="21" s="1"/>
  <c r="I17" i="21"/>
  <c r="H17" i="21" s="1"/>
  <c r="Q16" i="21"/>
  <c r="P16" i="21" s="1"/>
  <c r="S16" i="21" s="1"/>
  <c r="I16" i="21"/>
  <c r="H16" i="21"/>
  <c r="R16" i="21" s="1"/>
  <c r="R15" i="21"/>
  <c r="Q15" i="21"/>
  <c r="P15" i="21" s="1"/>
  <c r="S15" i="21" s="1"/>
  <c r="I15" i="21"/>
  <c r="H15" i="21"/>
  <c r="Q14" i="21"/>
  <c r="P14" i="21" s="1"/>
  <c r="S14" i="21" s="1"/>
  <c r="I14" i="21"/>
  <c r="H14" i="21" s="1"/>
  <c r="Q13" i="21"/>
  <c r="P13" i="21" s="1"/>
  <c r="S13" i="21" s="1"/>
  <c r="I13" i="21"/>
  <c r="H13" i="21" s="1"/>
  <c r="Q12" i="21"/>
  <c r="P12" i="21" s="1"/>
  <c r="S12" i="21" s="1"/>
  <c r="I12" i="21"/>
  <c r="H12" i="21"/>
  <c r="Q11" i="21"/>
  <c r="P11" i="21" s="1"/>
  <c r="S11" i="21" s="1"/>
  <c r="I11" i="21"/>
  <c r="H11" i="21"/>
  <c r="Q10" i="21"/>
  <c r="P10" i="21"/>
  <c r="S10" i="21" s="1"/>
  <c r="I10" i="21"/>
  <c r="H10" i="21" s="1"/>
  <c r="Q9" i="21"/>
  <c r="P9" i="21"/>
  <c r="S9" i="21" s="1"/>
  <c r="I9" i="21"/>
  <c r="H9" i="21" s="1"/>
  <c r="Q8" i="21"/>
  <c r="P8" i="21"/>
  <c r="S8" i="21" s="1"/>
  <c r="I8" i="21"/>
  <c r="H8" i="21"/>
  <c r="Q7" i="21"/>
  <c r="P7" i="21" s="1"/>
  <c r="S7" i="21" s="1"/>
  <c r="I7" i="21"/>
  <c r="H7" i="21"/>
  <c r="T7" i="21" s="1"/>
  <c r="Q6" i="21"/>
  <c r="P6" i="21"/>
  <c r="S6" i="21" s="1"/>
  <c r="I6" i="21"/>
  <c r="H6" i="21"/>
  <c r="R6" i="21" s="1"/>
  <c r="Q5" i="21"/>
  <c r="P5" i="21" s="1"/>
  <c r="S5" i="21" s="1"/>
  <c r="I5" i="21"/>
  <c r="Q20" i="20"/>
  <c r="P20" i="20" s="1"/>
  <c r="S20" i="20" s="1"/>
  <c r="I20" i="20"/>
  <c r="H20" i="20" s="1"/>
  <c r="Q19" i="20"/>
  <c r="P19" i="20" s="1"/>
  <c r="S19" i="20" s="1"/>
  <c r="I19" i="20"/>
  <c r="H19" i="20"/>
  <c r="Q18" i="20"/>
  <c r="P18" i="20"/>
  <c r="S18" i="20" s="1"/>
  <c r="I18" i="20"/>
  <c r="H18" i="20"/>
  <c r="R18" i="20" s="1"/>
  <c r="S17" i="20"/>
  <c r="Q17" i="20"/>
  <c r="P17" i="20"/>
  <c r="I17" i="20"/>
  <c r="H17" i="20" s="1"/>
  <c r="S16" i="20"/>
  <c r="Q16" i="20"/>
  <c r="P16" i="20"/>
  <c r="I16" i="20"/>
  <c r="H16" i="20" s="1"/>
  <c r="R16" i="20" s="1"/>
  <c r="Q15" i="20"/>
  <c r="P15" i="20" s="1"/>
  <c r="S15" i="20" s="1"/>
  <c r="I15" i="20"/>
  <c r="H15" i="20" s="1"/>
  <c r="Q14" i="20"/>
  <c r="P14" i="20"/>
  <c r="S14" i="20" s="1"/>
  <c r="I14" i="20"/>
  <c r="H14" i="20" s="1"/>
  <c r="R14" i="20" s="1"/>
  <c r="S13" i="20"/>
  <c r="Q13" i="20"/>
  <c r="P13" i="20"/>
  <c r="I13" i="20"/>
  <c r="H13" i="20" s="1"/>
  <c r="Q12" i="20"/>
  <c r="P12" i="20"/>
  <c r="S12" i="20" s="1"/>
  <c r="I12" i="20"/>
  <c r="H12" i="20"/>
  <c r="T12" i="20" s="1"/>
  <c r="Q11" i="20"/>
  <c r="P11" i="20" s="1"/>
  <c r="S11" i="20" s="1"/>
  <c r="I11" i="20"/>
  <c r="H11" i="20" s="1"/>
  <c r="Q10" i="20"/>
  <c r="P10" i="20"/>
  <c r="S10" i="20" s="1"/>
  <c r="I10" i="20"/>
  <c r="H10" i="20" s="1"/>
  <c r="R10" i="20" s="1"/>
  <c r="S9" i="20"/>
  <c r="Q9" i="20"/>
  <c r="P9" i="20"/>
  <c r="I9" i="20"/>
  <c r="H9" i="20" s="1"/>
  <c r="Q8" i="20"/>
  <c r="P8" i="20"/>
  <c r="S8" i="20" s="1"/>
  <c r="I8" i="20"/>
  <c r="H8" i="20"/>
  <c r="T8" i="20" s="1"/>
  <c r="Q7" i="20"/>
  <c r="P7" i="20" s="1"/>
  <c r="S7" i="20" s="1"/>
  <c r="I7" i="20"/>
  <c r="H7" i="20" s="1"/>
  <c r="Q6" i="20"/>
  <c r="P6" i="20"/>
  <c r="S6" i="20" s="1"/>
  <c r="I6" i="20"/>
  <c r="H6" i="20" s="1"/>
  <c r="Q5" i="20"/>
  <c r="P5" i="20" s="1"/>
  <c r="S5" i="20" s="1"/>
  <c r="I5" i="20"/>
  <c r="S21" i="16"/>
  <c r="T20" i="16"/>
  <c r="T19" i="16"/>
  <c r="T18" i="16"/>
  <c r="T17" i="16"/>
  <c r="T16" i="16"/>
  <c r="T14" i="16"/>
  <c r="T13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12" i="15"/>
  <c r="S11" i="15"/>
  <c r="S10" i="15"/>
  <c r="S9" i="15"/>
  <c r="S8" i="15"/>
  <c r="S7" i="15"/>
  <c r="S6" i="15"/>
  <c r="S5" i="15"/>
  <c r="R20" i="16"/>
  <c r="R19" i="16"/>
  <c r="R18" i="16"/>
  <c r="R17" i="16"/>
  <c r="R16" i="16"/>
  <c r="R14" i="16"/>
  <c r="R13" i="16"/>
  <c r="Q21" i="16"/>
  <c r="Q13" i="16"/>
  <c r="P13" i="16" s="1"/>
  <c r="Q14" i="16"/>
  <c r="P14" i="16" s="1"/>
  <c r="Q15" i="16"/>
  <c r="P15" i="16" s="1"/>
  <c r="Q16" i="16"/>
  <c r="P16" i="16" s="1"/>
  <c r="Q17" i="16"/>
  <c r="P17" i="16" s="1"/>
  <c r="Q18" i="16"/>
  <c r="P18" i="16" s="1"/>
  <c r="Q19" i="16"/>
  <c r="P19" i="16" s="1"/>
  <c r="Q20" i="16"/>
  <c r="P20" i="16" s="1"/>
  <c r="P25" i="22" l="1"/>
  <c r="H25" i="22"/>
  <c r="R9" i="22"/>
  <c r="T9" i="22"/>
  <c r="R13" i="22"/>
  <c r="T13" i="22"/>
  <c r="R17" i="22"/>
  <c r="T17" i="22"/>
  <c r="R21" i="22"/>
  <c r="T21" i="22"/>
  <c r="T6" i="22"/>
  <c r="R8" i="22"/>
  <c r="T10" i="22"/>
  <c r="R12" i="22"/>
  <c r="T14" i="22"/>
  <c r="R16" i="22"/>
  <c r="T18" i="22"/>
  <c r="R20" i="22"/>
  <c r="T22" i="22"/>
  <c r="R24" i="22"/>
  <c r="R7" i="22"/>
  <c r="R11" i="22"/>
  <c r="R15" i="22"/>
  <c r="R19" i="22"/>
  <c r="R23" i="22"/>
  <c r="H5" i="22"/>
  <c r="T15" i="21"/>
  <c r="T6" i="21"/>
  <c r="T8" i="21"/>
  <c r="T11" i="21"/>
  <c r="T10" i="21"/>
  <c r="R10" i="21"/>
  <c r="R13" i="21"/>
  <c r="T13" i="21"/>
  <c r="R14" i="21"/>
  <c r="T14" i="21"/>
  <c r="S25" i="21"/>
  <c r="T12" i="21"/>
  <c r="T19" i="21"/>
  <c r="R9" i="21"/>
  <c r="T9" i="21"/>
  <c r="R17" i="21"/>
  <c r="T17" i="21"/>
  <c r="T18" i="21"/>
  <c r="R18" i="21"/>
  <c r="R8" i="21"/>
  <c r="R12" i="21"/>
  <c r="R11" i="21"/>
  <c r="R19" i="21"/>
  <c r="T16" i="21"/>
  <c r="T20" i="21"/>
  <c r="R7" i="21"/>
  <c r="H5" i="21"/>
  <c r="I21" i="20"/>
  <c r="R6" i="20"/>
  <c r="T6" i="20"/>
  <c r="T20" i="20"/>
  <c r="R9" i="20"/>
  <c r="T9" i="20"/>
  <c r="T11" i="20"/>
  <c r="R13" i="20"/>
  <c r="T13" i="20"/>
  <c r="T15" i="20"/>
  <c r="R17" i="20"/>
  <c r="T17" i="20"/>
  <c r="T19" i="20"/>
  <c r="S21" i="20"/>
  <c r="T7" i="20"/>
  <c r="T10" i="20"/>
  <c r="Q21" i="20"/>
  <c r="R7" i="20"/>
  <c r="R11" i="20"/>
  <c r="R15" i="20"/>
  <c r="R19" i="20"/>
  <c r="R8" i="20"/>
  <c r="R12" i="20"/>
  <c r="T18" i="20"/>
  <c r="R20" i="20"/>
  <c r="T16" i="20"/>
  <c r="T14" i="20"/>
  <c r="H5" i="20"/>
  <c r="R5" i="22" l="1"/>
  <c r="T5" i="22"/>
  <c r="R5" i="21"/>
  <c r="T5" i="21"/>
  <c r="R5" i="20"/>
  <c r="R21" i="20" s="1"/>
  <c r="T5" i="20"/>
  <c r="T21" i="20" s="1"/>
  <c r="I13" i="2" l="1"/>
  <c r="I13" i="15"/>
  <c r="I13" i="16"/>
  <c r="H13" i="16" s="1"/>
  <c r="I14" i="16"/>
  <c r="I15" i="16"/>
  <c r="H15" i="16" s="1"/>
  <c r="I16" i="16"/>
  <c r="I17" i="16"/>
  <c r="I18" i="16"/>
  <c r="I19" i="16"/>
  <c r="H19" i="16" s="1"/>
  <c r="I20" i="16"/>
  <c r="H14" i="16"/>
  <c r="H16" i="16"/>
  <c r="H17" i="16"/>
  <c r="H18" i="16"/>
  <c r="H20" i="16"/>
  <c r="I21" i="16" l="1"/>
  <c r="T15" i="16"/>
  <c r="R15" i="16"/>
  <c r="R21" i="16" s="1"/>
  <c r="Q12" i="16"/>
  <c r="P12" i="16" s="1"/>
  <c r="I12" i="16"/>
  <c r="H12" i="16" s="1"/>
  <c r="Q11" i="16"/>
  <c r="P11" i="16" s="1"/>
  <c r="I11" i="16"/>
  <c r="H11" i="16" s="1"/>
  <c r="Q10" i="16"/>
  <c r="P10" i="16" s="1"/>
  <c r="I10" i="16"/>
  <c r="H10" i="16" s="1"/>
  <c r="Q9" i="16"/>
  <c r="P9" i="16" s="1"/>
  <c r="I9" i="16"/>
  <c r="H9" i="16" s="1"/>
  <c r="Q8" i="16"/>
  <c r="P8" i="16" s="1"/>
  <c r="I8" i="16"/>
  <c r="H8" i="16" s="1"/>
  <c r="R8" i="16" s="1"/>
  <c r="Q7" i="16"/>
  <c r="P7" i="16" s="1"/>
  <c r="I7" i="16"/>
  <c r="H7" i="16" s="1"/>
  <c r="Q6" i="16"/>
  <c r="P6" i="16" s="1"/>
  <c r="I6" i="16"/>
  <c r="H6" i="16" s="1"/>
  <c r="R6" i="16" s="1"/>
  <c r="Q5" i="16"/>
  <c r="P5" i="16" s="1"/>
  <c r="I5" i="16"/>
  <c r="H5" i="16" s="1"/>
  <c r="Q12" i="15"/>
  <c r="P12" i="15"/>
  <c r="I12" i="15"/>
  <c r="H12" i="15" s="1"/>
  <c r="Q11" i="15"/>
  <c r="P11" i="15"/>
  <c r="I11" i="15"/>
  <c r="H11" i="15" s="1"/>
  <c r="Q10" i="15"/>
  <c r="P10" i="15" s="1"/>
  <c r="I10" i="15"/>
  <c r="H10" i="15"/>
  <c r="T10" i="15" s="1"/>
  <c r="Q9" i="15"/>
  <c r="P9" i="15" s="1"/>
  <c r="I9" i="15"/>
  <c r="H9" i="15"/>
  <c r="T9" i="15" s="1"/>
  <c r="Q8" i="15"/>
  <c r="P8" i="15"/>
  <c r="I8" i="15"/>
  <c r="H8" i="15" s="1"/>
  <c r="Q7" i="15"/>
  <c r="P7" i="15"/>
  <c r="I7" i="15"/>
  <c r="H7" i="15" s="1"/>
  <c r="Q6" i="15"/>
  <c r="P6" i="15"/>
  <c r="I6" i="15"/>
  <c r="H6" i="15" s="1"/>
  <c r="R6" i="15" s="1"/>
  <c r="S13" i="15"/>
  <c r="Q5" i="15"/>
  <c r="P5" i="15" s="1"/>
  <c r="I5" i="15"/>
  <c r="H5" i="15" s="1"/>
  <c r="T21" i="16" l="1"/>
  <c r="T10" i="16"/>
  <c r="T8" i="16"/>
  <c r="T5" i="16"/>
  <c r="R5" i="16"/>
  <c r="T9" i="16"/>
  <c r="R9" i="16"/>
  <c r="R12" i="16"/>
  <c r="T12" i="16"/>
  <c r="R7" i="16"/>
  <c r="T7" i="16"/>
  <c r="R11" i="16"/>
  <c r="T11" i="16"/>
  <c r="R10" i="16"/>
  <c r="T6" i="16"/>
  <c r="T5" i="15"/>
  <c r="R5" i="15"/>
  <c r="R7" i="15"/>
  <c r="T7" i="15"/>
  <c r="R8" i="15"/>
  <c r="T8" i="15"/>
  <c r="R11" i="15"/>
  <c r="T11" i="15"/>
  <c r="R12" i="15"/>
  <c r="T12" i="15"/>
  <c r="R10" i="15"/>
  <c r="R9" i="15"/>
  <c r="T6" i="15"/>
  <c r="S13" i="2"/>
  <c r="R13" i="2"/>
  <c r="S12" i="2"/>
  <c r="S11" i="2"/>
  <c r="S10" i="2"/>
  <c r="S9" i="2"/>
  <c r="S8" i="2"/>
  <c r="S7" i="2"/>
  <c r="S6" i="2"/>
  <c r="R12" i="2"/>
  <c r="R11" i="2"/>
  <c r="R10" i="2"/>
  <c r="R9" i="2"/>
  <c r="R8" i="2"/>
  <c r="R7" i="2"/>
  <c r="R6" i="2"/>
  <c r="S5" i="2"/>
  <c r="R5" i="2"/>
  <c r="T5" i="2"/>
  <c r="T10" i="2"/>
  <c r="Q12" i="2"/>
  <c r="P12" i="2" s="1"/>
  <c r="Q11" i="2"/>
  <c r="P11" i="2"/>
  <c r="Q10" i="2"/>
  <c r="P10" i="2" s="1"/>
  <c r="Q9" i="2"/>
  <c r="P9" i="2"/>
  <c r="Q8" i="2"/>
  <c r="P8" i="2" s="1"/>
  <c r="Q7" i="2"/>
  <c r="P7" i="2"/>
  <c r="Q6" i="2"/>
  <c r="P6" i="2" s="1"/>
  <c r="Q5" i="2"/>
  <c r="P5" i="2" s="1"/>
  <c r="I7" i="2"/>
  <c r="H7" i="2" s="1"/>
  <c r="T7" i="2" s="1"/>
  <c r="I8" i="2"/>
  <c r="H8" i="2" s="1"/>
  <c r="T8" i="2" s="1"/>
  <c r="I9" i="2"/>
  <c r="H9" i="2" s="1"/>
  <c r="T9" i="2" s="1"/>
  <c r="I10" i="2"/>
  <c r="H10" i="2" s="1"/>
  <c r="H11" i="2"/>
  <c r="T11" i="2" s="1"/>
  <c r="I11" i="2"/>
  <c r="I12" i="2"/>
  <c r="H12" i="2" s="1"/>
  <c r="T12" i="2" s="1"/>
  <c r="H5" i="2"/>
  <c r="T13" i="2" s="1"/>
  <c r="I6" i="2"/>
  <c r="H6" i="2" s="1"/>
  <c r="T6" i="2" s="1"/>
  <c r="I5" i="2"/>
  <c r="R13" i="15" l="1"/>
  <c r="T13" i="15"/>
  <c r="J9" i="1" l="1"/>
  <c r="K9" i="1"/>
  <c r="L9" i="1"/>
  <c r="M9" i="1"/>
  <c r="N9" i="1"/>
  <c r="O9" i="1"/>
  <c r="P9" i="1"/>
  <c r="Q9" i="1"/>
  <c r="R9" i="1"/>
  <c r="S9" i="1"/>
  <c r="T9" i="1"/>
  <c r="U9" i="1"/>
  <c r="V9" i="1"/>
  <c r="W9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O23" i="1"/>
  <c r="P23" i="1"/>
  <c r="Q23" i="1"/>
  <c r="R23" i="1"/>
  <c r="S23" i="1"/>
  <c r="T23" i="1"/>
  <c r="U23" i="1"/>
  <c r="V23" i="1"/>
  <c r="W23" i="1"/>
  <c r="O24" i="1"/>
  <c r="P24" i="1"/>
  <c r="Q24" i="1"/>
  <c r="R24" i="1"/>
  <c r="S24" i="1"/>
  <c r="T24" i="1"/>
  <c r="U24" i="1"/>
  <c r="V24" i="1"/>
  <c r="W24" i="1"/>
  <c r="T25" i="1"/>
  <c r="U25" i="1"/>
  <c r="V25" i="1"/>
  <c r="W25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O28" i="1"/>
  <c r="P28" i="1"/>
  <c r="Q28" i="1"/>
  <c r="R28" i="1"/>
  <c r="S28" i="1"/>
  <c r="T28" i="1"/>
  <c r="U28" i="1"/>
  <c r="V28" i="1"/>
  <c r="W28" i="1"/>
  <c r="O29" i="1"/>
  <c r="P29" i="1"/>
  <c r="Q29" i="1"/>
  <c r="R29" i="1"/>
  <c r="S29" i="1"/>
  <c r="T29" i="1"/>
  <c r="U29" i="1"/>
  <c r="V29" i="1"/>
  <c r="W29" i="1"/>
  <c r="N31" i="1" l="1"/>
  <c r="J31" i="1"/>
  <c r="G31" i="1"/>
  <c r="F31" i="1"/>
  <c r="O31" i="1"/>
  <c r="I31" i="1"/>
  <c r="P31" i="1"/>
  <c r="W31" i="1"/>
  <c r="H31" i="1"/>
  <c r="U31" i="1"/>
  <c r="M31" i="1"/>
  <c r="R31" i="1"/>
  <c r="S31" i="1"/>
  <c r="K31" i="1"/>
  <c r="E31" i="1"/>
  <c r="T31" i="1"/>
  <c r="X31" i="1" s="1"/>
  <c r="L31" i="1"/>
  <c r="Q31" i="1"/>
  <c r="V31" i="1"/>
  <c r="Y31" i="1" l="1"/>
  <c r="Z31" i="1" s="1"/>
  <c r="AA31" i="1" l="1"/>
  <c r="AB31" i="1" l="1"/>
  <c r="AC31" i="1" s="1"/>
  <c r="AD31" i="1" l="1"/>
  <c r="AE31" i="1" s="1"/>
  <c r="AF31" i="1" s="1"/>
  <c r="AG31" i="1" s="1"/>
  <c r="AH31" i="1" l="1"/>
</calcChain>
</file>

<file path=xl/sharedStrings.xml><?xml version="1.0" encoding="utf-8"?>
<sst xmlns="http://schemas.openxmlformats.org/spreadsheetml/2006/main" count="423" uniqueCount="165">
  <si>
    <t>Phase 1</t>
  </si>
  <si>
    <t>Phase 2</t>
  </si>
  <si>
    <t>Phase 3</t>
  </si>
  <si>
    <t>Phase 4</t>
  </si>
  <si>
    <t>Phase 5</t>
  </si>
  <si>
    <t>Phase 6</t>
  </si>
  <si>
    <t>Fixed Route Service (YOE Dollars)</t>
  </si>
  <si>
    <t>FY 2020</t>
  </si>
  <si>
    <t>FY 2021</t>
  </si>
  <si>
    <t>FY 2022</t>
  </si>
  <si>
    <t>FY 2023</t>
  </si>
  <si>
    <t>FY 2024</t>
  </si>
  <si>
    <t>FY 2025</t>
  </si>
  <si>
    <t>FY 2026</t>
  </si>
  <si>
    <t>FY 2027</t>
  </si>
  <si>
    <t>FY 2028</t>
  </si>
  <si>
    <t>FY 2029</t>
  </si>
  <si>
    <t>FY 2030</t>
  </si>
  <si>
    <t>FY 2031</t>
  </si>
  <si>
    <t>FY 2032</t>
  </si>
  <si>
    <t>FY 2033</t>
  </si>
  <si>
    <t>FY 2034</t>
  </si>
  <si>
    <t>FY 2035</t>
  </si>
  <si>
    <t>FY 2036</t>
  </si>
  <si>
    <t>FY 2037</t>
  </si>
  <si>
    <t>FY 2038</t>
  </si>
  <si>
    <t>FY 2039</t>
  </si>
  <si>
    <t>Route 100</t>
  </si>
  <si>
    <t>Route 101</t>
  </si>
  <si>
    <t>Route 102</t>
  </si>
  <si>
    <t>Route 103</t>
  </si>
  <si>
    <t>Route 201</t>
  </si>
  <si>
    <t>Route 202</t>
  </si>
  <si>
    <t>Route 203</t>
  </si>
  <si>
    <t>Route 204</t>
  </si>
  <si>
    <t>Route 205</t>
  </si>
  <si>
    <t>Route 206</t>
  </si>
  <si>
    <t>Route 207</t>
  </si>
  <si>
    <t>Route 208</t>
  </si>
  <si>
    <t>Route 301</t>
  </si>
  <si>
    <t>Route 302</t>
  </si>
  <si>
    <t>Route 303</t>
  </si>
  <si>
    <t>Route 304</t>
  </si>
  <si>
    <t>Route 401</t>
  </si>
  <si>
    <t>Concord Mills Circulator</t>
  </si>
  <si>
    <t>CCX</t>
  </si>
  <si>
    <t>CHX</t>
  </si>
  <si>
    <t>KCX</t>
  </si>
  <si>
    <t>Fixed-Route Total</t>
  </si>
  <si>
    <t>Fiscal Year</t>
  </si>
  <si>
    <t>Key Variables</t>
  </si>
  <si>
    <t>Plan Year</t>
  </si>
  <si>
    <t>Inflation Rate</t>
  </si>
  <si>
    <t>Cumulative Inflation Factor</t>
  </si>
  <si>
    <t>Operations Cost with Inflation Factor</t>
  </si>
  <si>
    <t>Vanpool Considerations</t>
  </si>
  <si>
    <t>Description</t>
  </si>
  <si>
    <t>Amount</t>
  </si>
  <si>
    <t>Total</t>
  </si>
  <si>
    <t>In-House Directly Own Vehicles ($25,000/vehicle)</t>
  </si>
  <si>
    <t>Operating Budget - In-House Program (5 vans)</t>
  </si>
  <si>
    <t>$1350/van</t>
  </si>
  <si>
    <t>Contracted Service (5 vans)</t>
  </si>
  <si>
    <t>$900/van</t>
  </si>
  <si>
    <t>Vanpool Contracted Services</t>
  </si>
  <si>
    <t>FY 2040</t>
  </si>
  <si>
    <t>Sales Tax Referendum</t>
  </si>
  <si>
    <t>1 cent</t>
  </si>
  <si>
    <t>Federal Funding</t>
  </si>
  <si>
    <t>federal</t>
  </si>
  <si>
    <t>State Funding</t>
  </si>
  <si>
    <t>state</t>
  </si>
  <si>
    <t xml:space="preserve">Total </t>
  </si>
  <si>
    <t>Route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</si>
  <si>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</si>
  <si>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</si>
  <si>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</si>
  <si>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</si>
  <si>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</si>
  <si>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</si>
  <si>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</si>
  <si>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</si>
  <si>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</si>
  <si>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</si>
  <si>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</si>
  <si>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</si>
  <si>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</si>
  <si>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</si>
  <si>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</si>
  <si>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</si>
  <si>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</si>
  <si>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</si>
  <si>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</si>
  <si>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</si>
  <si>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Weekday (Monday - Friday)</t>
  </si>
  <si>
    <t>Start Time</t>
  </si>
  <si>
    <t>End Time</t>
  </si>
  <si>
    <t>Cycle Time (mins)</t>
  </si>
  <si>
    <t>Frequency (mins)</t>
  </si>
  <si>
    <t>Daily Operating Hours</t>
  </si>
  <si>
    <t>Year Start</t>
  </si>
  <si>
    <t>Service Hours Per Day</t>
  </si>
  <si>
    <t>Buses Per Route</t>
  </si>
  <si>
    <t>Weekend</t>
  </si>
  <si>
    <t>Total Weekdays</t>
  </si>
  <si>
    <t>Total Weekend Days</t>
  </si>
  <si>
    <t>Annual Revenue Service Hours</t>
  </si>
  <si>
    <t>Annual Weekday Service Hours</t>
  </si>
  <si>
    <t>Annual Weekend Day Service Hours</t>
  </si>
  <si>
    <t>Year One Hourly Rate</t>
  </si>
  <si>
    <t>Year Two Hourly Rate</t>
  </si>
  <si>
    <t>Year Three Hourly Rate</t>
  </si>
  <si>
    <t>FY 20 Revenue Hour Rate (Contract rate plus fuel)</t>
  </si>
  <si>
    <t>Year Five Hourly Rate</t>
  </si>
  <si>
    <t>Year Six Hourly Rate</t>
  </si>
  <si>
    <t>Year 3 Revenue Hour Rate (Contract rate plus fuel)</t>
  </si>
  <si>
    <t>Year Four Hourly Rate</t>
  </si>
  <si>
    <t>Year 6 Revenue Hour Rate (Contract rate plus fuel)</t>
  </si>
  <si>
    <t>Year Eight Hourly Rate</t>
  </si>
  <si>
    <t>Year 8 Revenue Hour Rate (Contract rate plus fuel)</t>
  </si>
  <si>
    <t>Year Seven Hourly Rate</t>
  </si>
  <si>
    <t>Year Nine Hourly Rate</t>
  </si>
  <si>
    <t>Year Ten Hourly Rate</t>
  </si>
  <si>
    <t>Year Eleven Hourly Rate</t>
  </si>
  <si>
    <t>22:30:00 AM</t>
  </si>
  <si>
    <t>Year 11 Revenue Hour Rate (Contract rate plus fuel)</t>
  </si>
  <si>
    <t>Year Twelve Hourly Rate</t>
  </si>
  <si>
    <t>Year Thirteen Hourly Rate</t>
  </si>
  <si>
    <t>Year Fourteen Hourly Rate</t>
  </si>
  <si>
    <t>Year 14 Revenue Hour Rate (Contract rate plus fuel)</t>
  </si>
  <si>
    <t>Year Fifteen Hourly Rate</t>
  </si>
  <si>
    <t>Year Sixteen Hourly Rate</t>
  </si>
  <si>
    <t>Year Seventeen Hourly Rate</t>
  </si>
  <si>
    <t>Year Eighteen Hourly Rate</t>
  </si>
  <si>
    <t>Year Nineteen Hourly Rate</t>
  </si>
  <si>
    <t>Year Twenty Hourly Rate</t>
  </si>
  <si>
    <t>Assumptions for Demand Response:</t>
  </si>
  <si>
    <t>Takes FY 20 CCTS and Rider ADA Operating costs as starting point.</t>
  </si>
  <si>
    <t>Assumes 2.5% GROWTH EACH YEAR</t>
  </si>
  <si>
    <t>Assumes DR riders NOT currently being served would be equal to those in current siloed programs (2019 ridership was 99,801)</t>
  </si>
  <si>
    <t>Assumes total DR ridership would double in Year 4 when the DR program goes countywide</t>
  </si>
  <si>
    <t>Assumes current rate of 3,696 passengers per DR vehicle per year</t>
  </si>
  <si>
    <t>DR Ridership and Vehicles</t>
  </si>
  <si>
    <t>2019 Reference data below</t>
  </si>
  <si>
    <t>Ridership</t>
  </si>
  <si>
    <t>Riders per vehicle</t>
  </si>
  <si>
    <t xml:space="preserve"> Revenue Service Vehicles Needed</t>
  </si>
  <si>
    <t>Assumes Rider ADA passenger per hour is 1.44</t>
  </si>
  <si>
    <t>Assumes CCTS passengers per hour is 2.025</t>
  </si>
  <si>
    <t>Assumes blended 1.7325 passengers per hour</t>
  </si>
  <si>
    <t>Revenue Service Hours Needed</t>
  </si>
  <si>
    <t>Blended Passengers Per Hour</t>
  </si>
  <si>
    <t>Table 1</t>
  </si>
  <si>
    <t>Light Rail to CMS</t>
  </si>
  <si>
    <t>FY 2041</t>
  </si>
  <si>
    <t>FY 2042</t>
  </si>
  <si>
    <t>FY 2043</t>
  </si>
  <si>
    <t>FY 2044</t>
  </si>
  <si>
    <t>FY 2045</t>
  </si>
  <si>
    <t>FY 2046</t>
  </si>
  <si>
    <t>FY 2047</t>
  </si>
  <si>
    <t>FY 2048</t>
  </si>
  <si>
    <t>FY 2049</t>
  </si>
  <si>
    <t>FY 2050</t>
  </si>
  <si>
    <t>MTP Horizon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</si>
</sst>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0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49AC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39AC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0" fillId="8" borderId="0" xfId="0" applyFill="1"/>
    <xf numFmtId="0" fontId="3" fillId="8" borderId="0" xfId="0" applyFont="1" applyFill="1"/>
    <xf numFmtId="0" fontId="3" fillId="8" borderId="2" xfId="0" applyFont="1" applyFill="1" applyBorder="1" applyAlignment="1">
      <alignment horizontal="center" vertical="center"/>
    </xf>
    <xf numFmtId="164" fontId="0" fillId="8" borderId="4" xfId="0" applyNumberFormat="1" applyFill="1" applyBorder="1" applyAlignment="1">
      <alignment horizontal="center"/>
    </xf>
    <xf numFmtId="164" fontId="0" fillId="8" borderId="9" xfId="0" applyNumberFormat="1" applyFill="1" applyBorder="1" applyAlignment="1">
      <alignment horizontal="center"/>
    </xf>
    <xf numFmtId="164" fontId="3" fillId="8" borderId="2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0" fillId="8" borderId="13" xfId="0" applyNumberFormat="1" applyFill="1" applyBorder="1" applyAlignment="1">
      <alignment horizontal="center"/>
    </xf>
    <xf numFmtId="0" fontId="3" fillId="8" borderId="14" xfId="0" applyFont="1" applyFill="1" applyBorder="1" applyAlignment="1">
      <alignment horizontal="center" vertical="center"/>
    </xf>
    <xf numFmtId="0" fontId="0" fillId="8" borderId="12" xfId="0" applyFill="1" applyBorder="1"/>
    <xf numFmtId="164" fontId="0" fillId="8" borderId="12" xfId="0" applyNumberFormat="1" applyFill="1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0" fontId="0" fillId="2" borderId="27" xfId="1" applyNumberFormat="1" applyFont="1" applyFill="1" applyBorder="1" applyAlignment="1">
      <alignment horizontal="center"/>
    </xf>
    <xf numFmtId="165" fontId="0" fillId="2" borderId="28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10" fontId="0" fillId="2" borderId="19" xfId="1" applyNumberFormat="1" applyFont="1" applyFill="1" applyBorder="1" applyAlignment="1">
      <alignment horizontal="center"/>
    </xf>
    <xf numFmtId="10" fontId="0" fillId="2" borderId="12" xfId="1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0" fontId="0" fillId="2" borderId="20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Fill="1" applyBorder="1" applyAlignment="1">
      <alignment horizontal="center"/>
    </xf>
    <xf numFmtId="10" fontId="0" fillId="2" borderId="30" xfId="1" applyNumberFormat="1" applyFont="1" applyFill="1" applyBorder="1" applyAlignment="1">
      <alignment horizontal="center"/>
    </xf>
    <xf numFmtId="0" fontId="0" fillId="0" borderId="12" xfId="0" applyBorder="1"/>
    <xf numFmtId="0" fontId="2" fillId="10" borderId="0" xfId="0" applyFont="1" applyFill="1"/>
    <xf numFmtId="0" fontId="0" fillId="10" borderId="0" xfId="0" applyFill="1"/>
    <xf numFmtId="0" fontId="0" fillId="9" borderId="0" xfId="0" applyFill="1"/>
    <xf numFmtId="0" fontId="0" fillId="2" borderId="12" xfId="0" applyFill="1" applyBorder="1"/>
    <xf numFmtId="0" fontId="0" fillId="3" borderId="12" xfId="0" applyFill="1" applyBorder="1"/>
    <xf numFmtId="0" fontId="0" fillId="10" borderId="12" xfId="0" applyFill="1" applyBorder="1"/>
    <xf numFmtId="0" fontId="0" fillId="5" borderId="12" xfId="0" applyFill="1" applyBorder="1"/>
    <xf numFmtId="0" fontId="0" fillId="9" borderId="12" xfId="0" applyFill="1" applyBorder="1"/>
    <xf numFmtId="0" fontId="0" fillId="0" borderId="31" xfId="0" applyBorder="1"/>
    <xf numFmtId="0" fontId="0" fillId="0" borderId="32" xfId="0" applyBorder="1"/>
    <xf numFmtId="0" fontId="0" fillId="0" borderId="8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5" borderId="0" xfId="0" applyFill="1" applyAlignment="1">
      <alignment horizontal="center"/>
    </xf>
    <xf numFmtId="0" fontId="0" fillId="0" borderId="27" xfId="0" applyBorder="1"/>
    <xf numFmtId="0" fontId="0" fillId="0" borderId="38" xfId="0" applyBorder="1"/>
    <xf numFmtId="0" fontId="3" fillId="0" borderId="11" xfId="0" applyFont="1" applyBorder="1"/>
    <xf numFmtId="165" fontId="0" fillId="0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22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/>
    <xf numFmtId="0" fontId="3" fillId="0" borderId="3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2" fontId="3" fillId="11" borderId="37" xfId="0" applyNumberFormat="1" applyFont="1" applyFill="1" applyBorder="1" applyAlignment="1">
      <alignment horizontal="center" vertical="top" wrapText="1"/>
    </xf>
    <xf numFmtId="0" fontId="3" fillId="11" borderId="37" xfId="0" applyFont="1" applyFill="1" applyBorder="1" applyAlignment="1">
      <alignment horizontal="center" vertical="top" wrapText="1"/>
    </xf>
    <xf numFmtId="0" fontId="0" fillId="11" borderId="0" xfId="0" applyFill="1" applyAlignment="1">
      <alignment horizontal="center"/>
    </xf>
    <xf numFmtId="18" fontId="0" fillId="11" borderId="0" xfId="0" applyNumberFormat="1" applyFill="1" applyAlignment="1">
      <alignment horizontal="center"/>
    </xf>
    <xf numFmtId="0" fontId="0" fillId="11" borderId="0" xfId="0" applyNumberFormat="1" applyFill="1" applyAlignment="1">
      <alignment horizontal="center"/>
    </xf>
    <xf numFmtId="0" fontId="3" fillId="5" borderId="37" xfId="0" applyFont="1" applyFill="1" applyBorder="1" applyAlignment="1">
      <alignment horizontal="center" vertical="top" wrapText="1"/>
    </xf>
    <xf numFmtId="2" fontId="3" fillId="5" borderId="37" xfId="0" applyNumberFormat="1" applyFont="1" applyFill="1" applyBorder="1" applyAlignment="1">
      <alignment horizontal="center" vertical="top" wrapText="1"/>
    </xf>
    <xf numFmtId="18" fontId="0" fillId="5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0" fillId="0" borderId="0" xfId="2" applyFont="1"/>
    <xf numFmtId="44" fontId="3" fillId="0" borderId="0" xfId="2" applyFont="1"/>
    <xf numFmtId="0" fontId="3" fillId="0" borderId="0" xfId="0" applyFont="1" applyFill="1" applyBorder="1" applyAlignment="1">
      <alignment horizontal="left"/>
    </xf>
    <xf numFmtId="3" fontId="0" fillId="0" borderId="0" xfId="0" applyNumberFormat="1"/>
    <xf numFmtId="1" fontId="0" fillId="0" borderId="0" xfId="0" applyNumberFormat="1"/>
    <xf numFmtId="0" fontId="3" fillId="7" borderId="31" xfId="0" applyNumberFormat="1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7" xfId="0" applyFont="1" applyBorder="1"/>
    <xf numFmtId="0" fontId="0" fillId="0" borderId="27" xfId="0" applyFont="1" applyBorder="1"/>
    <xf numFmtId="0" fontId="0" fillId="0" borderId="8" xfId="0" applyFont="1" applyFill="1" applyBorder="1"/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0" xfId="0" applyFont="1"/>
    <xf numFmtId="164" fontId="0" fillId="8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3" borderId="39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4" borderId="39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39" xfId="0" applyNumberFormat="1" applyFill="1" applyBorder="1" applyAlignment="1">
      <alignment horizontal="center"/>
    </xf>
    <xf numFmtId="164" fontId="0" fillId="6" borderId="39" xfId="0" applyNumberFormat="1" applyFill="1" applyBorder="1" applyAlignment="1">
      <alignment horizontal="center"/>
    </xf>
    <xf numFmtId="10" fontId="0" fillId="0" borderId="0" xfId="1" applyNumberFormat="1" applyFont="1"/>
    <xf numFmtId="0" fontId="3" fillId="7" borderId="0" xfId="0" applyNumberFormat="1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/>
    </xf>
    <xf numFmtId="166" fontId="0" fillId="9" borderId="0" xfId="3" applyNumberFormat="1" applyFont="1" applyFill="1" applyBorder="1"/>
    <xf numFmtId="164" fontId="0" fillId="0" borderId="0" xfId="0" applyNumberFormat="1"/>
    <xf numFmtId="164" fontId="0" fillId="0" borderId="0" xfId="2" applyNumberFormat="1" applyFont="1"/>
    <xf numFmtId="166" fontId="0" fillId="0" borderId="0" xfId="3" applyNumberFormat="1" applyFont="1"/>
    <xf numFmtId="1" fontId="0" fillId="0" borderId="15" xfId="0" applyNumberFormat="1" applyBorder="1"/>
    <xf numFmtId="1" fontId="0" fillId="0" borderId="35" xfId="0" applyNumberFormat="1" applyBorder="1"/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Border="1" applyAlignment="1">
      <alignment horizontal="center" vertical="top" wrapText="1"/>
    </xf>
    <xf numFmtId="0" fontId="3" fillId="11" borderId="0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1" xfId="0" applyNumberFormat="1" applyFont="1" applyFill="1" applyBorder="1" applyAlignment="1">
      <alignment horizontal="center" wrapText="1"/>
    </xf>
    <xf numFmtId="0" fontId="3" fillId="0" borderId="24" xfId="0" applyNumberFormat="1" applyFont="1" applyFill="1" applyBorder="1" applyAlignment="1">
      <alignment horizontal="center" wrapText="1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CCCCFF"/>
      <color rgb="FFFFCCFF"/>
      <color rgb="FFC39AC4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9%20CCLRPTPMP%20Documents\2019.12.5%20Final%20Comparison%20of%20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lan"/>
      <sheetName val="Funding Reference"/>
      <sheetName val="Operations Summary"/>
      <sheetName val="Operations Summary by FY"/>
      <sheetName val="Phase 1"/>
      <sheetName val="Phase 2"/>
      <sheetName val="Short Term"/>
      <sheetName val="Phase 3"/>
      <sheetName val="Phase 4"/>
      <sheetName val="Phase 5"/>
      <sheetName val="Phase 6"/>
      <sheetName val="Capital Summary"/>
      <sheetName val="Vehicle Replac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tabSelected="1" topLeftCell="A6" workbookViewId="0">
      <selection activeCell="C16" sqref="C16"/>
    </sheetView>
  </sheetViews>
  <sheetFormatPr defaultRowHeight="15" x14ac:dyDescent="0.25"/>
  <cols>
    <col min="2" max="2" width="22.42578125" bestFit="1" customWidth="1"/>
    <col min="3" max="3" width="16.42578125" style="102" customWidth="1"/>
    <col min="4" max="6" width="10.140625" bestFit="1" customWidth="1"/>
    <col min="7" max="7" width="11.85546875" bestFit="1" customWidth="1"/>
    <col min="8" max="9" width="10.140625" bestFit="1" customWidth="1"/>
    <col min="10" max="23" width="11.140625" bestFit="1" customWidth="1"/>
    <col min="24" max="24" width="12.140625" bestFit="1" customWidth="1"/>
    <col min="25" max="25" width="12.85546875" customWidth="1"/>
    <col min="26" max="26" width="12.7109375" customWidth="1"/>
    <col min="27" max="27" width="10.85546875" customWidth="1"/>
    <col min="28" max="28" width="12.85546875" customWidth="1"/>
    <col min="29" max="29" width="11.7109375" customWidth="1"/>
    <col min="30" max="30" width="23.28515625" customWidth="1"/>
    <col min="31" max="31" width="15.42578125" customWidth="1"/>
    <col min="32" max="32" width="14.5703125" customWidth="1"/>
    <col min="33" max="33" width="15.85546875" customWidth="1"/>
    <col min="34" max="34" width="15" customWidth="1"/>
  </cols>
  <sheetData>
    <row r="1" spans="1:43" x14ac:dyDescent="0.25">
      <c r="A1" t="s">
        <v>54</v>
      </c>
    </row>
    <row r="2" spans="1:43" ht="18.75" x14ac:dyDescent="0.3">
      <c r="B2" s="115" t="s">
        <v>152</v>
      </c>
      <c r="D2" s="34"/>
      <c r="E2" s="34"/>
      <c r="F2" s="34"/>
      <c r="G2" s="1"/>
      <c r="H2" s="1"/>
      <c r="I2" s="1"/>
      <c r="J2" s="2"/>
      <c r="K2" s="2"/>
      <c r="L2" s="2"/>
      <c r="M2" s="3"/>
      <c r="N2" s="3"/>
      <c r="O2" s="4"/>
      <c r="P2" s="4"/>
      <c r="Q2" s="4"/>
      <c r="R2" s="4"/>
      <c r="S2" s="4"/>
      <c r="T2" s="5"/>
      <c r="U2" s="5"/>
      <c r="V2" s="5"/>
      <c r="W2" s="5"/>
    </row>
    <row r="3" spans="1:43" x14ac:dyDescent="0.25">
      <c r="D3" s="35"/>
      <c r="E3" s="34"/>
      <c r="F3" s="34"/>
      <c r="G3" s="1"/>
      <c r="H3" s="1"/>
      <c r="I3" s="1"/>
      <c r="J3" s="2"/>
      <c r="K3" s="2"/>
      <c r="L3" s="2"/>
      <c r="M3" s="3"/>
      <c r="N3" s="3"/>
      <c r="O3" s="4"/>
      <c r="P3" s="4"/>
      <c r="Q3" s="4"/>
      <c r="R3" s="4"/>
      <c r="S3" s="4"/>
      <c r="T3" s="5"/>
      <c r="U3" s="5"/>
      <c r="V3" s="5"/>
      <c r="W3" s="5"/>
    </row>
    <row r="4" spans="1:43" x14ac:dyDescent="0.25">
      <c r="B4" s="6"/>
      <c r="D4" s="138" t="s">
        <v>0</v>
      </c>
      <c r="E4" s="138"/>
      <c r="F4" s="138"/>
      <c r="G4" s="139" t="s">
        <v>1</v>
      </c>
      <c r="H4" s="139"/>
      <c r="I4" s="139"/>
      <c r="J4" s="140" t="s">
        <v>2</v>
      </c>
      <c r="K4" s="140"/>
      <c r="L4" s="140"/>
      <c r="M4" s="141" t="s">
        <v>3</v>
      </c>
      <c r="N4" s="141"/>
      <c r="O4" s="142" t="s">
        <v>4</v>
      </c>
      <c r="P4" s="142"/>
      <c r="Q4" s="142"/>
      <c r="R4" s="142"/>
      <c r="S4" s="142"/>
      <c r="T4" s="137" t="s">
        <v>5</v>
      </c>
      <c r="U4" s="137"/>
      <c r="V4" s="137"/>
      <c r="W4" s="137"/>
    </row>
    <row r="5" spans="1:43" x14ac:dyDescent="0.25">
      <c r="B5" s="6"/>
      <c r="D5" s="34">
        <v>1</v>
      </c>
      <c r="E5" s="34">
        <v>2</v>
      </c>
      <c r="F5" s="34">
        <v>3</v>
      </c>
      <c r="G5" s="7">
        <v>4</v>
      </c>
      <c r="H5" s="7">
        <v>5</v>
      </c>
      <c r="I5" s="7">
        <v>6</v>
      </c>
      <c r="J5" s="8">
        <v>7</v>
      </c>
      <c r="K5" s="8">
        <v>8</v>
      </c>
      <c r="L5" s="8">
        <v>9</v>
      </c>
      <c r="M5" s="9">
        <v>10</v>
      </c>
      <c r="N5" s="9">
        <v>11</v>
      </c>
      <c r="O5" s="10">
        <v>12</v>
      </c>
      <c r="P5" s="10">
        <v>13</v>
      </c>
      <c r="Q5" s="10">
        <v>14</v>
      </c>
      <c r="R5" s="10">
        <v>15</v>
      </c>
      <c r="S5" s="10">
        <v>16</v>
      </c>
      <c r="T5" s="11">
        <v>17</v>
      </c>
      <c r="U5" s="11">
        <v>18</v>
      </c>
      <c r="V5" s="11">
        <v>19</v>
      </c>
      <c r="W5" s="11">
        <v>20</v>
      </c>
    </row>
    <row r="6" spans="1:43" ht="15.75" thickBot="1" x14ac:dyDescent="0.3">
      <c r="D6" s="34"/>
      <c r="E6" s="34"/>
      <c r="F6" s="34"/>
      <c r="G6" s="1"/>
      <c r="H6" s="1"/>
      <c r="I6" s="1"/>
      <c r="J6" s="2"/>
      <c r="K6" s="2"/>
      <c r="L6" s="2"/>
      <c r="M6" s="3"/>
      <c r="N6" s="3"/>
      <c r="O6" s="4"/>
      <c r="P6" s="4"/>
      <c r="Q6" s="4"/>
      <c r="R6" s="4"/>
      <c r="S6" s="4"/>
      <c r="T6" s="5"/>
      <c r="U6" s="5"/>
      <c r="V6" s="5"/>
      <c r="W6" s="5"/>
    </row>
    <row r="7" spans="1:43" ht="28.15" customHeight="1" thickBot="1" x14ac:dyDescent="0.3">
      <c r="B7" s="12" t="s">
        <v>6</v>
      </c>
      <c r="C7" s="108" t="s">
        <v>164</v>
      </c>
      <c r="D7" s="42" t="s">
        <v>7</v>
      </c>
      <c r="E7" s="36" t="s">
        <v>8</v>
      </c>
      <c r="F7" s="36" t="s">
        <v>9</v>
      </c>
      <c r="G7" s="13" t="s">
        <v>10</v>
      </c>
      <c r="H7" s="13" t="s">
        <v>11</v>
      </c>
      <c r="I7" s="13" t="s">
        <v>12</v>
      </c>
      <c r="J7" s="14" t="s">
        <v>13</v>
      </c>
      <c r="K7" s="14" t="s">
        <v>14</v>
      </c>
      <c r="L7" s="14" t="s">
        <v>15</v>
      </c>
      <c r="M7" s="15" t="s">
        <v>16</v>
      </c>
      <c r="N7" s="15" t="s">
        <v>17</v>
      </c>
      <c r="O7" s="16" t="s">
        <v>18</v>
      </c>
      <c r="P7" s="16" t="s">
        <v>19</v>
      </c>
      <c r="Q7" s="16" t="s">
        <v>20</v>
      </c>
      <c r="R7" s="16" t="s">
        <v>21</v>
      </c>
      <c r="S7" s="16" t="s">
        <v>22</v>
      </c>
      <c r="T7" s="17" t="s">
        <v>23</v>
      </c>
      <c r="U7" s="17" t="s">
        <v>24</v>
      </c>
      <c r="V7" s="17" t="s">
        <v>25</v>
      </c>
      <c r="W7" s="17" t="s">
        <v>26</v>
      </c>
      <c r="X7" s="17" t="s">
        <v>65</v>
      </c>
      <c r="Y7" s="17" t="s">
        <v>154</v>
      </c>
      <c r="Z7" s="17" t="s">
        <v>155</v>
      </c>
      <c r="AA7" s="17" t="s">
        <v>156</v>
      </c>
      <c r="AB7" s="17" t="s">
        <v>157</v>
      </c>
      <c r="AC7" s="17" t="s">
        <v>158</v>
      </c>
      <c r="AD7" s="17" t="s">
        <v>159</v>
      </c>
      <c r="AE7" s="17" t="s">
        <v>160</v>
      </c>
      <c r="AF7" s="17" t="s">
        <v>161</v>
      </c>
      <c r="AG7" s="17" t="s">
        <v>162</v>
      </c>
      <c r="AH7" s="17" t="s">
        <v>163</v>
      </c>
      <c r="AI7" s="17"/>
      <c r="AJ7" s="17"/>
      <c r="AK7" s="17"/>
      <c r="AL7" s="17"/>
      <c r="AM7" s="17"/>
      <c r="AN7" s="17"/>
      <c r="AO7" s="17"/>
      <c r="AP7" s="17"/>
      <c r="AQ7" s="17"/>
    </row>
    <row r="8" spans="1:43" s="82" customFormat="1" ht="15.75" hidden="1" thickBot="1" x14ac:dyDescent="0.3">
      <c r="B8" s="108"/>
      <c r="C8" s="127"/>
      <c r="D8" s="128">
        <v>2020</v>
      </c>
      <c r="E8" s="128">
        <f>D8+1</f>
        <v>2021</v>
      </c>
      <c r="F8" s="128">
        <f t="shared" ref="F8:AH8" si="0">E8+1</f>
        <v>2022</v>
      </c>
      <c r="G8" s="128">
        <f t="shared" si="0"/>
        <v>2023</v>
      </c>
      <c r="H8" s="128">
        <f t="shared" si="0"/>
        <v>2024</v>
      </c>
      <c r="I8" s="128">
        <f t="shared" si="0"/>
        <v>2025</v>
      </c>
      <c r="J8" s="128">
        <f t="shared" si="0"/>
        <v>2026</v>
      </c>
      <c r="K8" s="128">
        <f t="shared" si="0"/>
        <v>2027</v>
      </c>
      <c r="L8" s="128">
        <f t="shared" si="0"/>
        <v>2028</v>
      </c>
      <c r="M8" s="128">
        <f t="shared" si="0"/>
        <v>2029</v>
      </c>
      <c r="N8" s="128">
        <f t="shared" si="0"/>
        <v>2030</v>
      </c>
      <c r="O8" s="128">
        <f t="shared" si="0"/>
        <v>2031</v>
      </c>
      <c r="P8" s="128">
        <f t="shared" si="0"/>
        <v>2032</v>
      </c>
      <c r="Q8" s="128">
        <f t="shared" si="0"/>
        <v>2033</v>
      </c>
      <c r="R8" s="128">
        <f t="shared" si="0"/>
        <v>2034</v>
      </c>
      <c r="S8" s="128">
        <f t="shared" si="0"/>
        <v>2035</v>
      </c>
      <c r="T8" s="128">
        <f t="shared" si="0"/>
        <v>2036</v>
      </c>
      <c r="U8" s="128">
        <f t="shared" si="0"/>
        <v>2037</v>
      </c>
      <c r="V8" s="128">
        <f t="shared" si="0"/>
        <v>2038</v>
      </c>
      <c r="W8" s="128">
        <f t="shared" si="0"/>
        <v>2039</v>
      </c>
      <c r="X8" s="128">
        <f t="shared" si="0"/>
        <v>2040</v>
      </c>
      <c r="Y8" s="128">
        <f t="shared" si="0"/>
        <v>2041</v>
      </c>
      <c r="Z8" s="128">
        <f t="shared" si="0"/>
        <v>2042</v>
      </c>
      <c r="AA8" s="128">
        <f t="shared" si="0"/>
        <v>2043</v>
      </c>
      <c r="AB8" s="128">
        <f t="shared" si="0"/>
        <v>2044</v>
      </c>
      <c r="AC8" s="128">
        <f t="shared" si="0"/>
        <v>2045</v>
      </c>
      <c r="AD8" s="128">
        <f t="shared" si="0"/>
        <v>2046</v>
      </c>
      <c r="AE8" s="128">
        <f t="shared" si="0"/>
        <v>2047</v>
      </c>
      <c r="AF8" s="128">
        <f t="shared" si="0"/>
        <v>2048</v>
      </c>
      <c r="AG8" s="128">
        <f t="shared" si="0"/>
        <v>2049</v>
      </c>
      <c r="AH8" s="128">
        <f t="shared" si="0"/>
        <v>2050</v>
      </c>
      <c r="AI8" s="129"/>
      <c r="AJ8" s="129"/>
      <c r="AK8" s="129"/>
      <c r="AL8" s="129"/>
      <c r="AM8" s="129"/>
      <c r="AN8" s="129"/>
      <c r="AO8" s="129"/>
      <c r="AP8" s="129"/>
      <c r="AQ8" s="129"/>
    </row>
    <row r="9" spans="1:43" x14ac:dyDescent="0.25">
      <c r="B9" s="109" t="s">
        <v>27</v>
      </c>
      <c r="C9" s="87">
        <v>2035</v>
      </c>
      <c r="D9" s="43"/>
      <c r="E9" s="41"/>
      <c r="F9" s="37"/>
      <c r="G9" s="19"/>
      <c r="H9" s="19"/>
      <c r="I9" s="20"/>
      <c r="J9" s="21">
        <f>((255*38)+(104*19))*70.02</f>
        <v>816853.32</v>
      </c>
      <c r="K9" s="21">
        <f>((255*38)+(104*19))*70.02</f>
        <v>816853.32</v>
      </c>
      <c r="L9" s="21">
        <f>((255*38)+(104*19))*70.02</f>
        <v>816853.32</v>
      </c>
      <c r="M9" s="22">
        <f t="shared" ref="M9:AH9" si="1">((255*76)+(104*19))*70.02</f>
        <v>1495347.1199999999</v>
      </c>
      <c r="N9" s="22">
        <f t="shared" si="1"/>
        <v>1495347.1199999999</v>
      </c>
      <c r="O9" s="23">
        <f t="shared" si="1"/>
        <v>1495347.1199999999</v>
      </c>
      <c r="P9" s="23">
        <f t="shared" si="1"/>
        <v>1495347.1199999999</v>
      </c>
      <c r="Q9" s="23">
        <f t="shared" si="1"/>
        <v>1495347.1199999999</v>
      </c>
      <c r="R9" s="23">
        <f t="shared" si="1"/>
        <v>1495347.1199999999</v>
      </c>
      <c r="S9" s="23">
        <f t="shared" si="1"/>
        <v>1495347.1199999999</v>
      </c>
      <c r="T9" s="24">
        <f t="shared" si="1"/>
        <v>1495347.1199999999</v>
      </c>
      <c r="U9" s="24">
        <f t="shared" si="1"/>
        <v>1495347.1199999999</v>
      </c>
      <c r="V9" s="24">
        <f t="shared" si="1"/>
        <v>1495347.1199999999</v>
      </c>
      <c r="W9" s="24">
        <f t="shared" si="1"/>
        <v>1495347.1199999999</v>
      </c>
      <c r="X9" s="24">
        <f t="shared" si="1"/>
        <v>1495347.1199999999</v>
      </c>
      <c r="Y9" s="24">
        <f t="shared" si="1"/>
        <v>1495347.1199999999</v>
      </c>
      <c r="Z9" s="24">
        <f t="shared" si="1"/>
        <v>1495347.1199999999</v>
      </c>
      <c r="AA9" s="24">
        <f t="shared" si="1"/>
        <v>1495347.1199999999</v>
      </c>
      <c r="AB9" s="24">
        <f t="shared" si="1"/>
        <v>1495347.1199999999</v>
      </c>
      <c r="AC9" s="24">
        <f t="shared" si="1"/>
        <v>1495347.1199999999</v>
      </c>
      <c r="AD9" s="24">
        <f t="shared" si="1"/>
        <v>1495347.1199999999</v>
      </c>
      <c r="AE9" s="24">
        <f t="shared" si="1"/>
        <v>1495347.1199999999</v>
      </c>
      <c r="AF9" s="24">
        <f t="shared" si="1"/>
        <v>1495347.1199999999</v>
      </c>
      <c r="AG9" s="24">
        <f t="shared" si="1"/>
        <v>1495347.1199999999</v>
      </c>
      <c r="AH9" s="24">
        <f t="shared" si="1"/>
        <v>1495347.1199999999</v>
      </c>
    </row>
    <row r="10" spans="1:43" x14ac:dyDescent="0.25">
      <c r="B10" s="110" t="s">
        <v>28</v>
      </c>
      <c r="C10" s="87">
        <v>2035</v>
      </c>
      <c r="D10" s="44"/>
      <c r="E10" s="41"/>
      <c r="F10" s="37"/>
      <c r="G10" s="19"/>
      <c r="H10" s="19"/>
      <c r="I10" s="20"/>
      <c r="J10" s="21">
        <f t="shared" ref="J10:AH10" si="2">((255*19)+(104*19))*70.02</f>
        <v>477606.42</v>
      </c>
      <c r="K10" s="21">
        <f t="shared" si="2"/>
        <v>477606.42</v>
      </c>
      <c r="L10" s="21">
        <f t="shared" si="2"/>
        <v>477606.42</v>
      </c>
      <c r="M10" s="22">
        <f t="shared" si="2"/>
        <v>477606.42</v>
      </c>
      <c r="N10" s="22">
        <f t="shared" si="2"/>
        <v>477606.42</v>
      </c>
      <c r="O10" s="23">
        <f t="shared" si="2"/>
        <v>477606.42</v>
      </c>
      <c r="P10" s="23">
        <f t="shared" si="2"/>
        <v>477606.42</v>
      </c>
      <c r="Q10" s="23">
        <f t="shared" si="2"/>
        <v>477606.42</v>
      </c>
      <c r="R10" s="23">
        <f t="shared" si="2"/>
        <v>477606.42</v>
      </c>
      <c r="S10" s="23">
        <f t="shared" si="2"/>
        <v>477606.42</v>
      </c>
      <c r="T10" s="24">
        <f t="shared" si="2"/>
        <v>477606.42</v>
      </c>
      <c r="U10" s="24">
        <f t="shared" si="2"/>
        <v>477606.42</v>
      </c>
      <c r="V10" s="24">
        <f t="shared" si="2"/>
        <v>477606.42</v>
      </c>
      <c r="W10" s="24">
        <f t="shared" si="2"/>
        <v>477606.42</v>
      </c>
      <c r="X10" s="24">
        <f t="shared" si="2"/>
        <v>477606.42</v>
      </c>
      <c r="Y10" s="24">
        <f t="shared" si="2"/>
        <v>477606.42</v>
      </c>
      <c r="Z10" s="24">
        <f t="shared" si="2"/>
        <v>477606.42</v>
      </c>
      <c r="AA10" s="24">
        <f t="shared" si="2"/>
        <v>477606.42</v>
      </c>
      <c r="AB10" s="24">
        <f t="shared" si="2"/>
        <v>477606.42</v>
      </c>
      <c r="AC10" s="24">
        <f t="shared" si="2"/>
        <v>477606.42</v>
      </c>
      <c r="AD10" s="24">
        <f t="shared" si="2"/>
        <v>477606.42</v>
      </c>
      <c r="AE10" s="24">
        <f t="shared" si="2"/>
        <v>477606.42</v>
      </c>
      <c r="AF10" s="24">
        <f t="shared" si="2"/>
        <v>477606.42</v>
      </c>
      <c r="AG10" s="24">
        <f t="shared" si="2"/>
        <v>477606.42</v>
      </c>
      <c r="AH10" s="24">
        <f t="shared" si="2"/>
        <v>477606.42</v>
      </c>
    </row>
    <row r="11" spans="1:43" x14ac:dyDescent="0.25">
      <c r="B11" s="110" t="s">
        <v>29</v>
      </c>
      <c r="C11" s="87">
        <v>2035</v>
      </c>
      <c r="D11" s="37"/>
      <c r="E11" s="37"/>
      <c r="F11" s="37"/>
      <c r="G11" s="19"/>
      <c r="H11" s="19"/>
      <c r="I11" s="20"/>
      <c r="J11" s="21">
        <f t="shared" ref="J11:L19" si="3">((255*38)+(104*19))*70.02</f>
        <v>816853.32</v>
      </c>
      <c r="K11" s="21">
        <f t="shared" si="3"/>
        <v>816853.32</v>
      </c>
      <c r="L11" s="21">
        <f t="shared" si="3"/>
        <v>816853.32</v>
      </c>
      <c r="M11" s="22">
        <f t="shared" ref="M11:V19" si="4">((255*76)+(104*19))*70.02</f>
        <v>1495347.1199999999</v>
      </c>
      <c r="N11" s="22">
        <f t="shared" si="4"/>
        <v>1495347.1199999999</v>
      </c>
      <c r="O11" s="23">
        <f t="shared" si="4"/>
        <v>1495347.1199999999</v>
      </c>
      <c r="P11" s="23">
        <f t="shared" si="4"/>
        <v>1495347.1199999999</v>
      </c>
      <c r="Q11" s="23">
        <f t="shared" si="4"/>
        <v>1495347.1199999999</v>
      </c>
      <c r="R11" s="23">
        <f t="shared" si="4"/>
        <v>1495347.1199999999</v>
      </c>
      <c r="S11" s="23">
        <f t="shared" si="4"/>
        <v>1495347.1199999999</v>
      </c>
      <c r="T11" s="24">
        <f t="shared" si="4"/>
        <v>1495347.1199999999</v>
      </c>
      <c r="U11" s="24">
        <f t="shared" si="4"/>
        <v>1495347.1199999999</v>
      </c>
      <c r="V11" s="24">
        <f t="shared" si="4"/>
        <v>1495347.1199999999</v>
      </c>
      <c r="W11" s="24">
        <f t="shared" ref="W11:AH19" si="5">((255*76)+(104*19))*70.02</f>
        <v>1495347.1199999999</v>
      </c>
      <c r="X11" s="24">
        <f t="shared" si="5"/>
        <v>1495347.1199999999</v>
      </c>
      <c r="Y11" s="24">
        <f t="shared" si="5"/>
        <v>1495347.1199999999</v>
      </c>
      <c r="Z11" s="24">
        <f t="shared" si="5"/>
        <v>1495347.1199999999</v>
      </c>
      <c r="AA11" s="24">
        <f t="shared" si="5"/>
        <v>1495347.1199999999</v>
      </c>
      <c r="AB11" s="24">
        <f t="shared" si="5"/>
        <v>1495347.1199999999</v>
      </c>
      <c r="AC11" s="24">
        <f t="shared" si="5"/>
        <v>1495347.1199999999</v>
      </c>
      <c r="AD11" s="24">
        <f t="shared" si="5"/>
        <v>1495347.1199999999</v>
      </c>
      <c r="AE11" s="24">
        <f t="shared" si="5"/>
        <v>1495347.1199999999</v>
      </c>
      <c r="AF11" s="24">
        <f t="shared" si="5"/>
        <v>1495347.1199999999</v>
      </c>
      <c r="AG11" s="24">
        <f t="shared" si="5"/>
        <v>1495347.1199999999</v>
      </c>
      <c r="AH11" s="24">
        <f t="shared" si="5"/>
        <v>1495347.1199999999</v>
      </c>
    </row>
    <row r="12" spans="1:43" x14ac:dyDescent="0.25">
      <c r="B12" s="110" t="s">
        <v>30</v>
      </c>
      <c r="C12" s="87">
        <v>2035</v>
      </c>
      <c r="D12" s="37"/>
      <c r="E12" s="37"/>
      <c r="F12" s="37"/>
      <c r="G12" s="19"/>
      <c r="H12" s="19"/>
      <c r="I12" s="20"/>
      <c r="J12" s="21">
        <f t="shared" si="3"/>
        <v>816853.32</v>
      </c>
      <c r="K12" s="21">
        <f t="shared" si="3"/>
        <v>816853.32</v>
      </c>
      <c r="L12" s="21">
        <f t="shared" si="3"/>
        <v>816853.32</v>
      </c>
      <c r="M12" s="22">
        <f t="shared" si="4"/>
        <v>1495347.1199999999</v>
      </c>
      <c r="N12" s="22">
        <f t="shared" si="4"/>
        <v>1495347.1199999999</v>
      </c>
      <c r="O12" s="23">
        <f t="shared" si="4"/>
        <v>1495347.1199999999</v>
      </c>
      <c r="P12" s="23">
        <f t="shared" si="4"/>
        <v>1495347.1199999999</v>
      </c>
      <c r="Q12" s="23">
        <f t="shared" si="4"/>
        <v>1495347.1199999999</v>
      </c>
      <c r="R12" s="23">
        <f t="shared" si="4"/>
        <v>1495347.1199999999</v>
      </c>
      <c r="S12" s="23">
        <f t="shared" si="4"/>
        <v>1495347.1199999999</v>
      </c>
      <c r="T12" s="24">
        <f t="shared" si="4"/>
        <v>1495347.1199999999</v>
      </c>
      <c r="U12" s="24">
        <f t="shared" si="4"/>
        <v>1495347.1199999999</v>
      </c>
      <c r="V12" s="24">
        <f t="shared" si="4"/>
        <v>1495347.1199999999</v>
      </c>
      <c r="W12" s="24">
        <f t="shared" si="5"/>
        <v>1495347.1199999999</v>
      </c>
      <c r="X12" s="24">
        <f t="shared" si="5"/>
        <v>1495347.1199999999</v>
      </c>
      <c r="Y12" s="24">
        <f t="shared" si="5"/>
        <v>1495347.1199999999</v>
      </c>
      <c r="Z12" s="24">
        <f t="shared" si="5"/>
        <v>1495347.1199999999</v>
      </c>
      <c r="AA12" s="24">
        <f t="shared" si="5"/>
        <v>1495347.1199999999</v>
      </c>
      <c r="AB12" s="24">
        <f t="shared" si="5"/>
        <v>1495347.1199999999</v>
      </c>
      <c r="AC12" s="24">
        <f t="shared" si="5"/>
        <v>1495347.1199999999</v>
      </c>
      <c r="AD12" s="24">
        <f t="shared" si="5"/>
        <v>1495347.1199999999</v>
      </c>
      <c r="AE12" s="24">
        <f t="shared" si="5"/>
        <v>1495347.1199999999</v>
      </c>
      <c r="AF12" s="24">
        <f t="shared" si="5"/>
        <v>1495347.1199999999</v>
      </c>
      <c r="AG12" s="24">
        <f t="shared" si="5"/>
        <v>1495347.1199999999</v>
      </c>
      <c r="AH12" s="24">
        <f t="shared" si="5"/>
        <v>1495347.1199999999</v>
      </c>
    </row>
    <row r="13" spans="1:43" x14ac:dyDescent="0.25">
      <c r="B13" s="110" t="s">
        <v>31</v>
      </c>
      <c r="C13" s="113">
        <v>2025</v>
      </c>
      <c r="D13" s="37">
        <f t="shared" ref="D13:F19" si="6">(1*(255*19)+(104*19))*70.02</f>
        <v>477606.42</v>
      </c>
      <c r="E13" s="37">
        <f t="shared" si="6"/>
        <v>477606.42</v>
      </c>
      <c r="F13" s="37">
        <f t="shared" si="6"/>
        <v>477606.42</v>
      </c>
      <c r="G13" s="19">
        <f t="shared" ref="G13:I19" si="7">(1*(255*38)+(104*19))*70.02</f>
        <v>816853.32</v>
      </c>
      <c r="H13" s="19">
        <f t="shared" si="7"/>
        <v>816853.32</v>
      </c>
      <c r="I13" s="19">
        <f t="shared" si="7"/>
        <v>816853.32</v>
      </c>
      <c r="J13" s="21">
        <f t="shared" si="3"/>
        <v>816853.32</v>
      </c>
      <c r="K13" s="21">
        <f t="shared" si="3"/>
        <v>816853.32</v>
      </c>
      <c r="L13" s="21">
        <f t="shared" si="3"/>
        <v>816853.32</v>
      </c>
      <c r="M13" s="22">
        <f t="shared" si="4"/>
        <v>1495347.1199999999</v>
      </c>
      <c r="N13" s="22">
        <f t="shared" si="4"/>
        <v>1495347.1199999999</v>
      </c>
      <c r="O13" s="23">
        <f t="shared" si="4"/>
        <v>1495347.1199999999</v>
      </c>
      <c r="P13" s="23">
        <f t="shared" si="4"/>
        <v>1495347.1199999999</v>
      </c>
      <c r="Q13" s="23">
        <f t="shared" si="4"/>
        <v>1495347.1199999999</v>
      </c>
      <c r="R13" s="23">
        <f t="shared" si="4"/>
        <v>1495347.1199999999</v>
      </c>
      <c r="S13" s="23">
        <f t="shared" si="4"/>
        <v>1495347.1199999999</v>
      </c>
      <c r="T13" s="24">
        <f t="shared" si="4"/>
        <v>1495347.1199999999</v>
      </c>
      <c r="U13" s="24">
        <f t="shared" si="4"/>
        <v>1495347.1199999999</v>
      </c>
      <c r="V13" s="24">
        <f t="shared" si="4"/>
        <v>1495347.1199999999</v>
      </c>
      <c r="W13" s="24">
        <f t="shared" si="5"/>
        <v>1495347.1199999999</v>
      </c>
      <c r="X13" s="24">
        <f t="shared" si="5"/>
        <v>1495347.1199999999</v>
      </c>
      <c r="Y13" s="24">
        <f t="shared" si="5"/>
        <v>1495347.1199999999</v>
      </c>
      <c r="Z13" s="24">
        <f t="shared" si="5"/>
        <v>1495347.1199999999</v>
      </c>
      <c r="AA13" s="24">
        <f t="shared" si="5"/>
        <v>1495347.1199999999</v>
      </c>
      <c r="AB13" s="24">
        <f t="shared" si="5"/>
        <v>1495347.1199999999</v>
      </c>
      <c r="AC13" s="24">
        <f t="shared" si="5"/>
        <v>1495347.1199999999</v>
      </c>
      <c r="AD13" s="24">
        <f t="shared" si="5"/>
        <v>1495347.1199999999</v>
      </c>
      <c r="AE13" s="24">
        <f t="shared" si="5"/>
        <v>1495347.1199999999</v>
      </c>
      <c r="AF13" s="24">
        <f t="shared" si="5"/>
        <v>1495347.1199999999</v>
      </c>
      <c r="AG13" s="24">
        <f t="shared" si="5"/>
        <v>1495347.1199999999</v>
      </c>
      <c r="AH13" s="24">
        <f t="shared" si="5"/>
        <v>1495347.1199999999</v>
      </c>
    </row>
    <row r="14" spans="1:43" x14ac:dyDescent="0.25">
      <c r="B14" s="110" t="s">
        <v>32</v>
      </c>
      <c r="C14" s="113">
        <v>2025</v>
      </c>
      <c r="D14" s="37">
        <f t="shared" si="6"/>
        <v>477606.42</v>
      </c>
      <c r="E14" s="37">
        <f t="shared" si="6"/>
        <v>477606.42</v>
      </c>
      <c r="F14" s="37">
        <f t="shared" si="6"/>
        <v>477606.42</v>
      </c>
      <c r="G14" s="19">
        <f t="shared" si="7"/>
        <v>816853.32</v>
      </c>
      <c r="H14" s="19">
        <f t="shared" si="7"/>
        <v>816853.32</v>
      </c>
      <c r="I14" s="19">
        <f t="shared" si="7"/>
        <v>816853.32</v>
      </c>
      <c r="J14" s="21">
        <f t="shared" si="3"/>
        <v>816853.32</v>
      </c>
      <c r="K14" s="21">
        <f t="shared" si="3"/>
        <v>816853.32</v>
      </c>
      <c r="L14" s="21">
        <f t="shared" si="3"/>
        <v>816853.32</v>
      </c>
      <c r="M14" s="22">
        <f t="shared" si="4"/>
        <v>1495347.1199999999</v>
      </c>
      <c r="N14" s="22">
        <f t="shared" si="4"/>
        <v>1495347.1199999999</v>
      </c>
      <c r="O14" s="23">
        <f t="shared" si="4"/>
        <v>1495347.1199999999</v>
      </c>
      <c r="P14" s="23">
        <f t="shared" si="4"/>
        <v>1495347.1199999999</v>
      </c>
      <c r="Q14" s="23">
        <f t="shared" si="4"/>
        <v>1495347.1199999999</v>
      </c>
      <c r="R14" s="23">
        <f t="shared" si="4"/>
        <v>1495347.1199999999</v>
      </c>
      <c r="S14" s="23">
        <f t="shared" si="4"/>
        <v>1495347.1199999999</v>
      </c>
      <c r="T14" s="24">
        <f t="shared" si="4"/>
        <v>1495347.1199999999</v>
      </c>
      <c r="U14" s="24">
        <f t="shared" si="4"/>
        <v>1495347.1199999999</v>
      </c>
      <c r="V14" s="24">
        <f t="shared" si="4"/>
        <v>1495347.1199999999</v>
      </c>
      <c r="W14" s="24">
        <f t="shared" si="5"/>
        <v>1495347.1199999999</v>
      </c>
      <c r="X14" s="24">
        <f t="shared" si="5"/>
        <v>1495347.1199999999</v>
      </c>
      <c r="Y14" s="24">
        <f t="shared" si="5"/>
        <v>1495347.1199999999</v>
      </c>
      <c r="Z14" s="24">
        <f t="shared" si="5"/>
        <v>1495347.1199999999</v>
      </c>
      <c r="AA14" s="24">
        <f t="shared" si="5"/>
        <v>1495347.1199999999</v>
      </c>
      <c r="AB14" s="24">
        <f t="shared" si="5"/>
        <v>1495347.1199999999</v>
      </c>
      <c r="AC14" s="24">
        <f t="shared" si="5"/>
        <v>1495347.1199999999</v>
      </c>
      <c r="AD14" s="24">
        <f t="shared" si="5"/>
        <v>1495347.1199999999</v>
      </c>
      <c r="AE14" s="24">
        <f t="shared" si="5"/>
        <v>1495347.1199999999</v>
      </c>
      <c r="AF14" s="24">
        <f t="shared" si="5"/>
        <v>1495347.1199999999</v>
      </c>
      <c r="AG14" s="24">
        <f t="shared" si="5"/>
        <v>1495347.1199999999</v>
      </c>
      <c r="AH14" s="24">
        <f t="shared" si="5"/>
        <v>1495347.1199999999</v>
      </c>
    </row>
    <row r="15" spans="1:43" x14ac:dyDescent="0.25">
      <c r="B15" s="110" t="s">
        <v>33</v>
      </c>
      <c r="C15" s="113">
        <v>2025</v>
      </c>
      <c r="D15" s="37">
        <f t="shared" si="6"/>
        <v>477606.42</v>
      </c>
      <c r="E15" s="37">
        <f t="shared" si="6"/>
        <v>477606.42</v>
      </c>
      <c r="F15" s="37">
        <f t="shared" si="6"/>
        <v>477606.42</v>
      </c>
      <c r="G15" s="19">
        <f t="shared" si="7"/>
        <v>816853.32</v>
      </c>
      <c r="H15" s="19">
        <f t="shared" si="7"/>
        <v>816853.32</v>
      </c>
      <c r="I15" s="19">
        <f t="shared" si="7"/>
        <v>816853.32</v>
      </c>
      <c r="J15" s="21">
        <f t="shared" si="3"/>
        <v>816853.32</v>
      </c>
      <c r="K15" s="21">
        <f t="shared" si="3"/>
        <v>816853.32</v>
      </c>
      <c r="L15" s="21">
        <f t="shared" si="3"/>
        <v>816853.32</v>
      </c>
      <c r="M15" s="22">
        <f t="shared" si="4"/>
        <v>1495347.1199999999</v>
      </c>
      <c r="N15" s="22">
        <f t="shared" si="4"/>
        <v>1495347.1199999999</v>
      </c>
      <c r="O15" s="23">
        <f t="shared" si="4"/>
        <v>1495347.1199999999</v>
      </c>
      <c r="P15" s="23">
        <f t="shared" si="4"/>
        <v>1495347.1199999999</v>
      </c>
      <c r="Q15" s="23">
        <f t="shared" si="4"/>
        <v>1495347.1199999999</v>
      </c>
      <c r="R15" s="23">
        <f t="shared" si="4"/>
        <v>1495347.1199999999</v>
      </c>
      <c r="S15" s="23">
        <f t="shared" si="4"/>
        <v>1495347.1199999999</v>
      </c>
      <c r="T15" s="24">
        <f t="shared" si="4"/>
        <v>1495347.1199999999</v>
      </c>
      <c r="U15" s="24">
        <f t="shared" si="4"/>
        <v>1495347.1199999999</v>
      </c>
      <c r="V15" s="24">
        <f t="shared" si="4"/>
        <v>1495347.1199999999</v>
      </c>
      <c r="W15" s="24">
        <f t="shared" si="5"/>
        <v>1495347.1199999999</v>
      </c>
      <c r="X15" s="24">
        <f t="shared" si="5"/>
        <v>1495347.1199999999</v>
      </c>
      <c r="Y15" s="24">
        <f t="shared" si="5"/>
        <v>1495347.1199999999</v>
      </c>
      <c r="Z15" s="24">
        <f t="shared" si="5"/>
        <v>1495347.1199999999</v>
      </c>
      <c r="AA15" s="24">
        <f t="shared" si="5"/>
        <v>1495347.1199999999</v>
      </c>
      <c r="AB15" s="24">
        <f t="shared" si="5"/>
        <v>1495347.1199999999</v>
      </c>
      <c r="AC15" s="24">
        <f t="shared" si="5"/>
        <v>1495347.1199999999</v>
      </c>
      <c r="AD15" s="24">
        <f t="shared" si="5"/>
        <v>1495347.1199999999</v>
      </c>
      <c r="AE15" s="24">
        <f t="shared" si="5"/>
        <v>1495347.1199999999</v>
      </c>
      <c r="AF15" s="24">
        <f t="shared" si="5"/>
        <v>1495347.1199999999</v>
      </c>
      <c r="AG15" s="24">
        <f t="shared" si="5"/>
        <v>1495347.1199999999</v>
      </c>
      <c r="AH15" s="24">
        <f t="shared" si="5"/>
        <v>1495347.1199999999</v>
      </c>
    </row>
    <row r="16" spans="1:43" x14ac:dyDescent="0.25">
      <c r="B16" s="112" t="s">
        <v>34</v>
      </c>
      <c r="C16" s="113">
        <v>2025</v>
      </c>
      <c r="D16" s="37">
        <f t="shared" si="6"/>
        <v>477606.42</v>
      </c>
      <c r="E16" s="37">
        <f t="shared" si="6"/>
        <v>477606.42</v>
      </c>
      <c r="F16" s="37">
        <f t="shared" si="6"/>
        <v>477606.42</v>
      </c>
      <c r="G16" s="19">
        <f t="shared" si="7"/>
        <v>816853.32</v>
      </c>
      <c r="H16" s="19">
        <f t="shared" si="7"/>
        <v>816853.32</v>
      </c>
      <c r="I16" s="19">
        <f t="shared" si="7"/>
        <v>816853.32</v>
      </c>
      <c r="J16" s="21">
        <f t="shared" si="3"/>
        <v>816853.32</v>
      </c>
      <c r="K16" s="21">
        <f t="shared" si="3"/>
        <v>816853.32</v>
      </c>
      <c r="L16" s="21">
        <f t="shared" si="3"/>
        <v>816853.32</v>
      </c>
      <c r="M16" s="22">
        <f t="shared" si="4"/>
        <v>1495347.1199999999</v>
      </c>
      <c r="N16" s="22">
        <f t="shared" si="4"/>
        <v>1495347.1199999999</v>
      </c>
      <c r="O16" s="23">
        <f t="shared" si="4"/>
        <v>1495347.1199999999</v>
      </c>
      <c r="P16" s="23">
        <f t="shared" si="4"/>
        <v>1495347.1199999999</v>
      </c>
      <c r="Q16" s="23">
        <f t="shared" si="4"/>
        <v>1495347.1199999999</v>
      </c>
      <c r="R16" s="23">
        <f t="shared" si="4"/>
        <v>1495347.1199999999</v>
      </c>
      <c r="S16" s="23">
        <f t="shared" si="4"/>
        <v>1495347.1199999999</v>
      </c>
      <c r="T16" s="24">
        <f t="shared" si="4"/>
        <v>1495347.1199999999</v>
      </c>
      <c r="U16" s="24">
        <f t="shared" si="4"/>
        <v>1495347.1199999999</v>
      </c>
      <c r="V16" s="24">
        <f t="shared" si="4"/>
        <v>1495347.1199999999</v>
      </c>
      <c r="W16" s="24">
        <f t="shared" si="5"/>
        <v>1495347.1199999999</v>
      </c>
      <c r="X16" s="24">
        <f t="shared" si="5"/>
        <v>1495347.1199999999</v>
      </c>
      <c r="Y16" s="24">
        <f t="shared" si="5"/>
        <v>1495347.1199999999</v>
      </c>
      <c r="Z16" s="24">
        <f t="shared" si="5"/>
        <v>1495347.1199999999</v>
      </c>
      <c r="AA16" s="24">
        <f t="shared" si="5"/>
        <v>1495347.1199999999</v>
      </c>
      <c r="AB16" s="24">
        <f t="shared" si="5"/>
        <v>1495347.1199999999</v>
      </c>
      <c r="AC16" s="24">
        <f t="shared" si="5"/>
        <v>1495347.1199999999</v>
      </c>
      <c r="AD16" s="24">
        <f t="shared" si="5"/>
        <v>1495347.1199999999</v>
      </c>
      <c r="AE16" s="24">
        <f t="shared" si="5"/>
        <v>1495347.1199999999</v>
      </c>
      <c r="AF16" s="24">
        <f t="shared" si="5"/>
        <v>1495347.1199999999</v>
      </c>
      <c r="AG16" s="24">
        <f t="shared" si="5"/>
        <v>1495347.1199999999</v>
      </c>
      <c r="AH16" s="24">
        <f t="shared" si="5"/>
        <v>1495347.1199999999</v>
      </c>
    </row>
    <row r="17" spans="1:34" x14ac:dyDescent="0.25">
      <c r="B17" s="110" t="s">
        <v>35</v>
      </c>
      <c r="C17" s="113">
        <v>2025</v>
      </c>
      <c r="D17" s="37">
        <f t="shared" si="6"/>
        <v>477606.42</v>
      </c>
      <c r="E17" s="37">
        <f t="shared" si="6"/>
        <v>477606.42</v>
      </c>
      <c r="F17" s="37">
        <f t="shared" si="6"/>
        <v>477606.42</v>
      </c>
      <c r="G17" s="19">
        <f t="shared" si="7"/>
        <v>816853.32</v>
      </c>
      <c r="H17" s="19">
        <f t="shared" si="7"/>
        <v>816853.32</v>
      </c>
      <c r="I17" s="19">
        <f t="shared" si="7"/>
        <v>816853.32</v>
      </c>
      <c r="J17" s="21">
        <f t="shared" si="3"/>
        <v>816853.32</v>
      </c>
      <c r="K17" s="21">
        <f t="shared" si="3"/>
        <v>816853.32</v>
      </c>
      <c r="L17" s="21">
        <f t="shared" si="3"/>
        <v>816853.32</v>
      </c>
      <c r="M17" s="22">
        <f t="shared" si="4"/>
        <v>1495347.1199999999</v>
      </c>
      <c r="N17" s="22">
        <f t="shared" si="4"/>
        <v>1495347.1199999999</v>
      </c>
      <c r="O17" s="23">
        <f t="shared" si="4"/>
        <v>1495347.1199999999</v>
      </c>
      <c r="P17" s="23">
        <f t="shared" si="4"/>
        <v>1495347.1199999999</v>
      </c>
      <c r="Q17" s="23">
        <f t="shared" si="4"/>
        <v>1495347.1199999999</v>
      </c>
      <c r="R17" s="23">
        <f t="shared" si="4"/>
        <v>1495347.1199999999</v>
      </c>
      <c r="S17" s="23">
        <f t="shared" si="4"/>
        <v>1495347.1199999999</v>
      </c>
      <c r="T17" s="24">
        <f t="shared" si="4"/>
        <v>1495347.1199999999</v>
      </c>
      <c r="U17" s="24">
        <f t="shared" si="4"/>
        <v>1495347.1199999999</v>
      </c>
      <c r="V17" s="24">
        <f t="shared" si="4"/>
        <v>1495347.1199999999</v>
      </c>
      <c r="W17" s="24">
        <f t="shared" si="5"/>
        <v>1495347.1199999999</v>
      </c>
      <c r="X17" s="24">
        <f t="shared" si="5"/>
        <v>1495347.1199999999</v>
      </c>
      <c r="Y17" s="24">
        <f t="shared" si="5"/>
        <v>1495347.1199999999</v>
      </c>
      <c r="Z17" s="24">
        <f t="shared" si="5"/>
        <v>1495347.1199999999</v>
      </c>
      <c r="AA17" s="24">
        <f t="shared" si="5"/>
        <v>1495347.1199999999</v>
      </c>
      <c r="AB17" s="24">
        <f t="shared" si="5"/>
        <v>1495347.1199999999</v>
      </c>
      <c r="AC17" s="24">
        <f t="shared" si="5"/>
        <v>1495347.1199999999</v>
      </c>
      <c r="AD17" s="24">
        <f t="shared" si="5"/>
        <v>1495347.1199999999</v>
      </c>
      <c r="AE17" s="24">
        <f t="shared" si="5"/>
        <v>1495347.1199999999</v>
      </c>
      <c r="AF17" s="24">
        <f t="shared" si="5"/>
        <v>1495347.1199999999</v>
      </c>
      <c r="AG17" s="24">
        <f t="shared" si="5"/>
        <v>1495347.1199999999</v>
      </c>
      <c r="AH17" s="24">
        <f t="shared" si="5"/>
        <v>1495347.1199999999</v>
      </c>
    </row>
    <row r="18" spans="1:34" x14ac:dyDescent="0.25">
      <c r="B18" s="110" t="s">
        <v>36</v>
      </c>
      <c r="C18" s="113">
        <v>2025</v>
      </c>
      <c r="D18" s="37">
        <f t="shared" si="6"/>
        <v>477606.42</v>
      </c>
      <c r="E18" s="37">
        <f t="shared" si="6"/>
        <v>477606.42</v>
      </c>
      <c r="F18" s="37">
        <f t="shared" si="6"/>
        <v>477606.42</v>
      </c>
      <c r="G18" s="19">
        <f t="shared" si="7"/>
        <v>816853.32</v>
      </c>
      <c r="H18" s="19">
        <f t="shared" si="7"/>
        <v>816853.32</v>
      </c>
      <c r="I18" s="19">
        <f t="shared" si="7"/>
        <v>816853.32</v>
      </c>
      <c r="J18" s="21">
        <f t="shared" si="3"/>
        <v>816853.32</v>
      </c>
      <c r="K18" s="21">
        <f t="shared" si="3"/>
        <v>816853.32</v>
      </c>
      <c r="L18" s="21">
        <f t="shared" si="3"/>
        <v>816853.32</v>
      </c>
      <c r="M18" s="22">
        <f t="shared" si="4"/>
        <v>1495347.1199999999</v>
      </c>
      <c r="N18" s="22">
        <f t="shared" si="4"/>
        <v>1495347.1199999999</v>
      </c>
      <c r="O18" s="23">
        <f t="shared" si="4"/>
        <v>1495347.1199999999</v>
      </c>
      <c r="P18" s="23">
        <f t="shared" si="4"/>
        <v>1495347.1199999999</v>
      </c>
      <c r="Q18" s="23">
        <f t="shared" si="4"/>
        <v>1495347.1199999999</v>
      </c>
      <c r="R18" s="23">
        <f t="shared" si="4"/>
        <v>1495347.1199999999</v>
      </c>
      <c r="S18" s="23">
        <f t="shared" si="4"/>
        <v>1495347.1199999999</v>
      </c>
      <c r="T18" s="24">
        <f t="shared" si="4"/>
        <v>1495347.1199999999</v>
      </c>
      <c r="U18" s="24">
        <f t="shared" si="4"/>
        <v>1495347.1199999999</v>
      </c>
      <c r="V18" s="24">
        <f t="shared" si="4"/>
        <v>1495347.1199999999</v>
      </c>
      <c r="W18" s="24">
        <f t="shared" si="5"/>
        <v>1495347.1199999999</v>
      </c>
      <c r="X18" s="24">
        <f t="shared" si="5"/>
        <v>1495347.1199999999</v>
      </c>
      <c r="Y18" s="24">
        <f t="shared" si="5"/>
        <v>1495347.1199999999</v>
      </c>
      <c r="Z18" s="24">
        <f t="shared" si="5"/>
        <v>1495347.1199999999</v>
      </c>
      <c r="AA18" s="24">
        <f t="shared" si="5"/>
        <v>1495347.1199999999</v>
      </c>
      <c r="AB18" s="24">
        <f t="shared" si="5"/>
        <v>1495347.1199999999</v>
      </c>
      <c r="AC18" s="24">
        <f t="shared" si="5"/>
        <v>1495347.1199999999</v>
      </c>
      <c r="AD18" s="24">
        <f t="shared" si="5"/>
        <v>1495347.1199999999</v>
      </c>
      <c r="AE18" s="24">
        <f t="shared" si="5"/>
        <v>1495347.1199999999</v>
      </c>
      <c r="AF18" s="24">
        <f t="shared" si="5"/>
        <v>1495347.1199999999</v>
      </c>
      <c r="AG18" s="24">
        <f t="shared" si="5"/>
        <v>1495347.1199999999</v>
      </c>
      <c r="AH18" s="24">
        <f t="shared" si="5"/>
        <v>1495347.1199999999</v>
      </c>
    </row>
    <row r="19" spans="1:34" x14ac:dyDescent="0.25">
      <c r="B19" s="110" t="s">
        <v>37</v>
      </c>
      <c r="C19" s="113">
        <v>2025</v>
      </c>
      <c r="D19" s="37">
        <f t="shared" si="6"/>
        <v>477606.42</v>
      </c>
      <c r="E19" s="37">
        <f t="shared" si="6"/>
        <v>477606.42</v>
      </c>
      <c r="F19" s="37">
        <f t="shared" si="6"/>
        <v>477606.42</v>
      </c>
      <c r="G19" s="19">
        <f t="shared" si="7"/>
        <v>816853.32</v>
      </c>
      <c r="H19" s="19">
        <f t="shared" si="7"/>
        <v>816853.32</v>
      </c>
      <c r="I19" s="19">
        <f t="shared" si="7"/>
        <v>816853.32</v>
      </c>
      <c r="J19" s="21">
        <f t="shared" si="3"/>
        <v>816853.32</v>
      </c>
      <c r="K19" s="21">
        <f t="shared" si="3"/>
        <v>816853.32</v>
      </c>
      <c r="L19" s="21">
        <f t="shared" si="3"/>
        <v>816853.32</v>
      </c>
      <c r="M19" s="22">
        <f t="shared" si="4"/>
        <v>1495347.1199999999</v>
      </c>
      <c r="N19" s="22">
        <f t="shared" si="4"/>
        <v>1495347.1199999999</v>
      </c>
      <c r="O19" s="23">
        <f t="shared" si="4"/>
        <v>1495347.1199999999</v>
      </c>
      <c r="P19" s="23">
        <f t="shared" si="4"/>
        <v>1495347.1199999999</v>
      </c>
      <c r="Q19" s="23">
        <f t="shared" si="4"/>
        <v>1495347.1199999999</v>
      </c>
      <c r="R19" s="23">
        <f t="shared" si="4"/>
        <v>1495347.1199999999</v>
      </c>
      <c r="S19" s="23">
        <f t="shared" si="4"/>
        <v>1495347.1199999999</v>
      </c>
      <c r="T19" s="24">
        <f t="shared" si="4"/>
        <v>1495347.1199999999</v>
      </c>
      <c r="U19" s="24">
        <f t="shared" si="4"/>
        <v>1495347.1199999999</v>
      </c>
      <c r="V19" s="24">
        <f t="shared" si="4"/>
        <v>1495347.1199999999</v>
      </c>
      <c r="W19" s="24">
        <f t="shared" si="5"/>
        <v>1495347.1199999999</v>
      </c>
      <c r="X19" s="24">
        <f t="shared" si="5"/>
        <v>1495347.1199999999</v>
      </c>
      <c r="Y19" s="24">
        <f t="shared" si="5"/>
        <v>1495347.1199999999</v>
      </c>
      <c r="Z19" s="24">
        <f t="shared" si="5"/>
        <v>1495347.1199999999</v>
      </c>
      <c r="AA19" s="24">
        <f t="shared" si="5"/>
        <v>1495347.1199999999</v>
      </c>
      <c r="AB19" s="24">
        <f t="shared" si="5"/>
        <v>1495347.1199999999</v>
      </c>
      <c r="AC19" s="24">
        <f t="shared" si="5"/>
        <v>1495347.1199999999</v>
      </c>
      <c r="AD19" s="24">
        <f t="shared" si="5"/>
        <v>1495347.1199999999</v>
      </c>
      <c r="AE19" s="24">
        <f t="shared" si="5"/>
        <v>1495347.1199999999</v>
      </c>
      <c r="AF19" s="24">
        <f t="shared" si="5"/>
        <v>1495347.1199999999</v>
      </c>
      <c r="AG19" s="24">
        <f t="shared" si="5"/>
        <v>1495347.1199999999</v>
      </c>
      <c r="AH19" s="24">
        <f t="shared" si="5"/>
        <v>1495347.1199999999</v>
      </c>
    </row>
    <row r="20" spans="1:34" x14ac:dyDescent="0.25">
      <c r="B20" s="110" t="s">
        <v>38</v>
      </c>
      <c r="C20" s="113">
        <v>2035</v>
      </c>
      <c r="D20" s="37"/>
      <c r="E20" s="37"/>
      <c r="F20" s="37"/>
      <c r="G20" s="19"/>
      <c r="H20" s="19"/>
      <c r="I20" s="19"/>
      <c r="J20" s="21">
        <f>((255*57)+(104*19))*70.02</f>
        <v>1156100.22</v>
      </c>
      <c r="K20" s="21">
        <f>((255*57)+(104*19))*70.02</f>
        <v>1156100.22</v>
      </c>
      <c r="L20" s="21">
        <f>((255*57)+(104*19))*70.02</f>
        <v>1156100.22</v>
      </c>
      <c r="M20" s="22">
        <f t="shared" ref="M20:AH20" si="8">((255*114)+(104*19))*70.02</f>
        <v>2173840.92</v>
      </c>
      <c r="N20" s="22">
        <f t="shared" si="8"/>
        <v>2173840.92</v>
      </c>
      <c r="O20" s="23">
        <f t="shared" si="8"/>
        <v>2173840.92</v>
      </c>
      <c r="P20" s="23">
        <f t="shared" si="8"/>
        <v>2173840.92</v>
      </c>
      <c r="Q20" s="23">
        <f t="shared" si="8"/>
        <v>2173840.92</v>
      </c>
      <c r="R20" s="23">
        <f t="shared" si="8"/>
        <v>2173840.92</v>
      </c>
      <c r="S20" s="23">
        <f t="shared" si="8"/>
        <v>2173840.92</v>
      </c>
      <c r="T20" s="24">
        <f t="shared" si="8"/>
        <v>2173840.92</v>
      </c>
      <c r="U20" s="24">
        <f t="shared" si="8"/>
        <v>2173840.92</v>
      </c>
      <c r="V20" s="24">
        <f t="shared" si="8"/>
        <v>2173840.92</v>
      </c>
      <c r="W20" s="24">
        <f t="shared" si="8"/>
        <v>2173840.92</v>
      </c>
      <c r="X20" s="24">
        <f t="shared" si="8"/>
        <v>2173840.92</v>
      </c>
      <c r="Y20" s="24">
        <f t="shared" si="8"/>
        <v>2173840.92</v>
      </c>
      <c r="Z20" s="24">
        <f t="shared" si="8"/>
        <v>2173840.92</v>
      </c>
      <c r="AA20" s="24">
        <f t="shared" si="8"/>
        <v>2173840.92</v>
      </c>
      <c r="AB20" s="24">
        <f t="shared" si="8"/>
        <v>2173840.92</v>
      </c>
      <c r="AC20" s="24">
        <f t="shared" si="8"/>
        <v>2173840.92</v>
      </c>
      <c r="AD20" s="24">
        <f t="shared" si="8"/>
        <v>2173840.92</v>
      </c>
      <c r="AE20" s="24">
        <f t="shared" si="8"/>
        <v>2173840.92</v>
      </c>
      <c r="AF20" s="24">
        <f t="shared" si="8"/>
        <v>2173840.92</v>
      </c>
      <c r="AG20" s="24">
        <f t="shared" si="8"/>
        <v>2173840.92</v>
      </c>
      <c r="AH20" s="24">
        <f t="shared" si="8"/>
        <v>2173840.92</v>
      </c>
    </row>
    <row r="21" spans="1:34" x14ac:dyDescent="0.25">
      <c r="B21" s="110" t="s">
        <v>39</v>
      </c>
      <c r="C21" s="113">
        <v>2035</v>
      </c>
      <c r="D21" s="37"/>
      <c r="E21" s="37"/>
      <c r="F21" s="37"/>
      <c r="G21" s="19"/>
      <c r="H21" s="19"/>
      <c r="I21" s="19"/>
      <c r="J21" s="21">
        <f t="shared" ref="J21:L22" si="9">((255*38)+(104*19))*70.02</f>
        <v>816853.32</v>
      </c>
      <c r="K21" s="21">
        <f t="shared" si="9"/>
        <v>816853.32</v>
      </c>
      <c r="L21" s="21">
        <f t="shared" si="9"/>
        <v>816853.32</v>
      </c>
      <c r="M21" s="22">
        <f t="shared" ref="M21:V22" si="10">((255*76)+(104*19))*70.02</f>
        <v>1495347.1199999999</v>
      </c>
      <c r="N21" s="22">
        <f t="shared" si="10"/>
        <v>1495347.1199999999</v>
      </c>
      <c r="O21" s="23">
        <f t="shared" si="10"/>
        <v>1495347.1199999999</v>
      </c>
      <c r="P21" s="23">
        <f t="shared" si="10"/>
        <v>1495347.1199999999</v>
      </c>
      <c r="Q21" s="23">
        <f t="shared" si="10"/>
        <v>1495347.1199999999</v>
      </c>
      <c r="R21" s="23">
        <f t="shared" si="10"/>
        <v>1495347.1199999999</v>
      </c>
      <c r="S21" s="23">
        <f t="shared" si="10"/>
        <v>1495347.1199999999</v>
      </c>
      <c r="T21" s="24">
        <f t="shared" si="10"/>
        <v>1495347.1199999999</v>
      </c>
      <c r="U21" s="24">
        <f t="shared" si="10"/>
        <v>1495347.1199999999</v>
      </c>
      <c r="V21" s="24">
        <f t="shared" si="10"/>
        <v>1495347.1199999999</v>
      </c>
      <c r="W21" s="24">
        <f t="shared" ref="W21:AH22" si="11">((255*76)+(104*19))*70.02</f>
        <v>1495347.1199999999</v>
      </c>
      <c r="X21" s="24">
        <f t="shared" si="11"/>
        <v>1495347.1199999999</v>
      </c>
      <c r="Y21" s="24">
        <f t="shared" si="11"/>
        <v>1495347.1199999999</v>
      </c>
      <c r="Z21" s="24">
        <f t="shared" si="11"/>
        <v>1495347.1199999999</v>
      </c>
      <c r="AA21" s="24">
        <f t="shared" si="11"/>
        <v>1495347.1199999999</v>
      </c>
      <c r="AB21" s="24">
        <f t="shared" si="11"/>
        <v>1495347.1199999999</v>
      </c>
      <c r="AC21" s="24">
        <f t="shared" si="11"/>
        <v>1495347.1199999999</v>
      </c>
      <c r="AD21" s="24">
        <f t="shared" si="11"/>
        <v>1495347.1199999999</v>
      </c>
      <c r="AE21" s="24">
        <f t="shared" si="11"/>
        <v>1495347.1199999999</v>
      </c>
      <c r="AF21" s="24">
        <f t="shared" si="11"/>
        <v>1495347.1199999999</v>
      </c>
      <c r="AG21" s="24">
        <f t="shared" si="11"/>
        <v>1495347.1199999999</v>
      </c>
      <c r="AH21" s="24">
        <f t="shared" si="11"/>
        <v>1495347.1199999999</v>
      </c>
    </row>
    <row r="22" spans="1:34" x14ac:dyDescent="0.25">
      <c r="B22" s="110" t="s">
        <v>40</v>
      </c>
      <c r="C22" s="113">
        <v>2035</v>
      </c>
      <c r="D22" s="37"/>
      <c r="E22" s="37"/>
      <c r="F22" s="37"/>
      <c r="G22" s="19"/>
      <c r="H22" s="19"/>
      <c r="I22" s="19"/>
      <c r="J22" s="21">
        <f t="shared" si="9"/>
        <v>816853.32</v>
      </c>
      <c r="K22" s="21">
        <f t="shared" si="9"/>
        <v>816853.32</v>
      </c>
      <c r="L22" s="21">
        <f t="shared" si="9"/>
        <v>816853.32</v>
      </c>
      <c r="M22" s="22">
        <f t="shared" si="10"/>
        <v>1495347.1199999999</v>
      </c>
      <c r="N22" s="22">
        <f t="shared" si="10"/>
        <v>1495347.1199999999</v>
      </c>
      <c r="O22" s="23">
        <f t="shared" si="10"/>
        <v>1495347.1199999999</v>
      </c>
      <c r="P22" s="23">
        <f t="shared" si="10"/>
        <v>1495347.1199999999</v>
      </c>
      <c r="Q22" s="23">
        <f t="shared" si="10"/>
        <v>1495347.1199999999</v>
      </c>
      <c r="R22" s="23">
        <f t="shared" si="10"/>
        <v>1495347.1199999999</v>
      </c>
      <c r="S22" s="23">
        <f t="shared" si="10"/>
        <v>1495347.1199999999</v>
      </c>
      <c r="T22" s="24">
        <f t="shared" si="10"/>
        <v>1495347.1199999999</v>
      </c>
      <c r="U22" s="24">
        <f t="shared" si="10"/>
        <v>1495347.1199999999</v>
      </c>
      <c r="V22" s="24">
        <f t="shared" si="10"/>
        <v>1495347.1199999999</v>
      </c>
      <c r="W22" s="24">
        <f t="shared" si="11"/>
        <v>1495347.1199999999</v>
      </c>
      <c r="X22" s="24">
        <f t="shared" si="11"/>
        <v>1495347.1199999999</v>
      </c>
      <c r="Y22" s="24">
        <f t="shared" si="11"/>
        <v>1495347.1199999999</v>
      </c>
      <c r="Z22" s="24">
        <f t="shared" si="11"/>
        <v>1495347.1199999999</v>
      </c>
      <c r="AA22" s="24">
        <f t="shared" si="11"/>
        <v>1495347.1199999999</v>
      </c>
      <c r="AB22" s="24">
        <f t="shared" si="11"/>
        <v>1495347.1199999999</v>
      </c>
      <c r="AC22" s="24">
        <f t="shared" si="11"/>
        <v>1495347.1199999999</v>
      </c>
      <c r="AD22" s="24">
        <f t="shared" si="11"/>
        <v>1495347.1199999999</v>
      </c>
      <c r="AE22" s="24">
        <f t="shared" si="11"/>
        <v>1495347.1199999999</v>
      </c>
      <c r="AF22" s="24">
        <f t="shared" si="11"/>
        <v>1495347.1199999999</v>
      </c>
      <c r="AG22" s="24">
        <f t="shared" si="11"/>
        <v>1495347.1199999999</v>
      </c>
      <c r="AH22" s="24">
        <f t="shared" si="11"/>
        <v>1495347.1199999999</v>
      </c>
    </row>
    <row r="23" spans="1:34" x14ac:dyDescent="0.25">
      <c r="B23" s="110" t="s">
        <v>41</v>
      </c>
      <c r="C23" s="113">
        <v>2035</v>
      </c>
      <c r="D23" s="37"/>
      <c r="E23" s="37"/>
      <c r="F23" s="37"/>
      <c r="G23" s="19"/>
      <c r="H23" s="19"/>
      <c r="I23" s="19"/>
      <c r="J23" s="21"/>
      <c r="K23" s="21"/>
      <c r="L23" s="21"/>
      <c r="M23" s="22"/>
      <c r="N23" s="22"/>
      <c r="O23" s="23">
        <f t="shared" ref="O23:AH23" si="12">((255*152)+(104*76))*70.02</f>
        <v>3267413.28</v>
      </c>
      <c r="P23" s="23">
        <f t="shared" si="12"/>
        <v>3267413.28</v>
      </c>
      <c r="Q23" s="23">
        <f t="shared" si="12"/>
        <v>3267413.28</v>
      </c>
      <c r="R23" s="23">
        <f t="shared" si="12"/>
        <v>3267413.28</v>
      </c>
      <c r="S23" s="23">
        <f t="shared" si="12"/>
        <v>3267413.28</v>
      </c>
      <c r="T23" s="24">
        <f t="shared" si="12"/>
        <v>3267413.28</v>
      </c>
      <c r="U23" s="24">
        <f t="shared" si="12"/>
        <v>3267413.28</v>
      </c>
      <c r="V23" s="24">
        <f t="shared" si="12"/>
        <v>3267413.28</v>
      </c>
      <c r="W23" s="24">
        <f t="shared" si="12"/>
        <v>3267413.28</v>
      </c>
      <c r="X23" s="24">
        <f t="shared" si="12"/>
        <v>3267413.28</v>
      </c>
      <c r="Y23" s="24">
        <f t="shared" si="12"/>
        <v>3267413.28</v>
      </c>
      <c r="Z23" s="24">
        <f t="shared" si="12"/>
        <v>3267413.28</v>
      </c>
      <c r="AA23" s="24">
        <f t="shared" si="12"/>
        <v>3267413.28</v>
      </c>
      <c r="AB23" s="24">
        <f t="shared" si="12"/>
        <v>3267413.28</v>
      </c>
      <c r="AC23" s="24">
        <f t="shared" si="12"/>
        <v>3267413.28</v>
      </c>
      <c r="AD23" s="24">
        <f t="shared" si="12"/>
        <v>3267413.28</v>
      </c>
      <c r="AE23" s="24">
        <f t="shared" si="12"/>
        <v>3267413.28</v>
      </c>
      <c r="AF23" s="24">
        <f t="shared" si="12"/>
        <v>3267413.28</v>
      </c>
      <c r="AG23" s="24">
        <f t="shared" si="12"/>
        <v>3267413.28</v>
      </c>
      <c r="AH23" s="24">
        <f t="shared" si="12"/>
        <v>3267413.28</v>
      </c>
    </row>
    <row r="24" spans="1:34" x14ac:dyDescent="0.25">
      <c r="B24" s="110" t="s">
        <v>42</v>
      </c>
      <c r="C24" s="113">
        <v>2035</v>
      </c>
      <c r="D24" s="37"/>
      <c r="E24" s="37"/>
      <c r="F24" s="37"/>
      <c r="G24" s="19"/>
      <c r="H24" s="19"/>
      <c r="I24" s="19"/>
      <c r="J24" s="21"/>
      <c r="K24" s="21"/>
      <c r="L24" s="21"/>
      <c r="M24" s="22"/>
      <c r="N24" s="22"/>
      <c r="O24" s="23">
        <f>((255*76)+(104*19))*70.02</f>
        <v>1495347.1199999999</v>
      </c>
      <c r="P24" s="23">
        <f>((255*76)+(104*19))*70.02</f>
        <v>1495347.1199999999</v>
      </c>
      <c r="Q24" s="23">
        <f>((255*76)+(104*19))*70.02</f>
        <v>1495347.1199999999</v>
      </c>
      <c r="R24" s="23">
        <f>((255*76)+(104*19))*70.02</f>
        <v>1495347.1199999999</v>
      </c>
      <c r="S24" s="23">
        <f>((255*76)+(104*19))*70.02</f>
        <v>1495347.1199999999</v>
      </c>
      <c r="T24" s="24">
        <f t="shared" ref="T24:AH24" si="13">((255*38)+(104*19))*70.02</f>
        <v>816853.32</v>
      </c>
      <c r="U24" s="24">
        <f t="shared" si="13"/>
        <v>816853.32</v>
      </c>
      <c r="V24" s="24">
        <f t="shared" si="13"/>
        <v>816853.32</v>
      </c>
      <c r="W24" s="24">
        <f t="shared" si="13"/>
        <v>816853.32</v>
      </c>
      <c r="X24" s="24">
        <f t="shared" si="13"/>
        <v>816853.32</v>
      </c>
      <c r="Y24" s="24">
        <f t="shared" si="13"/>
        <v>816853.32</v>
      </c>
      <c r="Z24" s="24">
        <f t="shared" si="13"/>
        <v>816853.32</v>
      </c>
      <c r="AA24" s="24">
        <f t="shared" si="13"/>
        <v>816853.32</v>
      </c>
      <c r="AB24" s="24">
        <f t="shared" si="13"/>
        <v>816853.32</v>
      </c>
      <c r="AC24" s="24">
        <f t="shared" si="13"/>
        <v>816853.32</v>
      </c>
      <c r="AD24" s="24">
        <f t="shared" si="13"/>
        <v>816853.32</v>
      </c>
      <c r="AE24" s="24">
        <f t="shared" si="13"/>
        <v>816853.32</v>
      </c>
      <c r="AF24" s="24">
        <f t="shared" si="13"/>
        <v>816853.32</v>
      </c>
      <c r="AG24" s="24">
        <f t="shared" si="13"/>
        <v>816853.32</v>
      </c>
      <c r="AH24" s="24">
        <f t="shared" si="13"/>
        <v>816853.32</v>
      </c>
    </row>
    <row r="25" spans="1:34" x14ac:dyDescent="0.25">
      <c r="A25" s="81"/>
      <c r="B25" s="111" t="s">
        <v>43</v>
      </c>
      <c r="C25" s="87">
        <v>2045</v>
      </c>
      <c r="D25" s="37"/>
      <c r="E25" s="37"/>
      <c r="F25" s="37"/>
      <c r="G25" s="19"/>
      <c r="H25" s="19"/>
      <c r="I25" s="19"/>
      <c r="J25" s="21"/>
      <c r="K25" s="21"/>
      <c r="L25" s="21"/>
      <c r="M25" s="22"/>
      <c r="N25" s="22"/>
      <c r="O25" s="23"/>
      <c r="P25" s="23"/>
      <c r="Q25" s="23"/>
      <c r="R25" s="23"/>
      <c r="S25" s="23"/>
      <c r="T25" s="24">
        <f t="shared" ref="T25:AH25" si="14">((255*76)+(104*19))*70.02</f>
        <v>1495347.1199999999</v>
      </c>
      <c r="U25" s="24">
        <f t="shared" si="14"/>
        <v>1495347.1199999999</v>
      </c>
      <c r="V25" s="24">
        <f t="shared" si="14"/>
        <v>1495347.1199999999</v>
      </c>
      <c r="W25" s="24">
        <f t="shared" si="14"/>
        <v>1495347.1199999999</v>
      </c>
      <c r="X25" s="24">
        <f t="shared" si="14"/>
        <v>1495347.1199999999</v>
      </c>
      <c r="Y25" s="24">
        <f t="shared" si="14"/>
        <v>1495347.1199999999</v>
      </c>
      <c r="Z25" s="24">
        <f t="shared" si="14"/>
        <v>1495347.1199999999</v>
      </c>
      <c r="AA25" s="24">
        <f t="shared" si="14"/>
        <v>1495347.1199999999</v>
      </c>
      <c r="AB25" s="24">
        <f t="shared" si="14"/>
        <v>1495347.1199999999</v>
      </c>
      <c r="AC25" s="24">
        <f t="shared" si="14"/>
        <v>1495347.1199999999</v>
      </c>
      <c r="AD25" s="24">
        <f t="shared" si="14"/>
        <v>1495347.1199999999</v>
      </c>
      <c r="AE25" s="24">
        <f t="shared" si="14"/>
        <v>1495347.1199999999</v>
      </c>
      <c r="AF25" s="24">
        <f t="shared" si="14"/>
        <v>1495347.1199999999</v>
      </c>
      <c r="AG25" s="24">
        <f t="shared" si="14"/>
        <v>1495347.1199999999</v>
      </c>
      <c r="AH25" s="24">
        <f t="shared" si="14"/>
        <v>1495347.1199999999</v>
      </c>
    </row>
    <row r="26" spans="1:34" x14ac:dyDescent="0.25">
      <c r="A26" s="81"/>
      <c r="B26" s="111" t="s">
        <v>44</v>
      </c>
      <c r="C26" s="87">
        <v>2035</v>
      </c>
      <c r="D26" s="37"/>
      <c r="E26" s="37"/>
      <c r="F26" s="37"/>
      <c r="G26" s="19"/>
      <c r="H26" s="19"/>
      <c r="I26" s="19"/>
      <c r="J26" s="21">
        <f t="shared" ref="J26:AH26" si="15">((255*114)+(104*114))*70.02</f>
        <v>2865638.52</v>
      </c>
      <c r="K26" s="21">
        <f t="shared" si="15"/>
        <v>2865638.52</v>
      </c>
      <c r="L26" s="21">
        <f t="shared" si="15"/>
        <v>2865638.52</v>
      </c>
      <c r="M26" s="22">
        <f t="shared" si="15"/>
        <v>2865638.52</v>
      </c>
      <c r="N26" s="22">
        <f t="shared" si="15"/>
        <v>2865638.52</v>
      </c>
      <c r="O26" s="23">
        <f t="shared" si="15"/>
        <v>2865638.52</v>
      </c>
      <c r="P26" s="23">
        <f t="shared" si="15"/>
        <v>2865638.52</v>
      </c>
      <c r="Q26" s="23">
        <f t="shared" si="15"/>
        <v>2865638.52</v>
      </c>
      <c r="R26" s="23">
        <f t="shared" si="15"/>
        <v>2865638.52</v>
      </c>
      <c r="S26" s="23">
        <f t="shared" si="15"/>
        <v>2865638.52</v>
      </c>
      <c r="T26" s="24">
        <f t="shared" si="15"/>
        <v>2865638.52</v>
      </c>
      <c r="U26" s="24">
        <f t="shared" si="15"/>
        <v>2865638.52</v>
      </c>
      <c r="V26" s="24">
        <f t="shared" si="15"/>
        <v>2865638.52</v>
      </c>
      <c r="W26" s="24">
        <f t="shared" si="15"/>
        <v>2865638.52</v>
      </c>
      <c r="X26" s="24">
        <f t="shared" si="15"/>
        <v>2865638.52</v>
      </c>
      <c r="Y26" s="24">
        <f t="shared" si="15"/>
        <v>2865638.52</v>
      </c>
      <c r="Z26" s="24">
        <f t="shared" si="15"/>
        <v>2865638.52</v>
      </c>
      <c r="AA26" s="24">
        <f t="shared" si="15"/>
        <v>2865638.52</v>
      </c>
      <c r="AB26" s="24">
        <f t="shared" si="15"/>
        <v>2865638.52</v>
      </c>
      <c r="AC26" s="24">
        <f t="shared" si="15"/>
        <v>2865638.52</v>
      </c>
      <c r="AD26" s="24">
        <f t="shared" si="15"/>
        <v>2865638.52</v>
      </c>
      <c r="AE26" s="24">
        <f t="shared" si="15"/>
        <v>2865638.52</v>
      </c>
      <c r="AF26" s="24">
        <f t="shared" si="15"/>
        <v>2865638.52</v>
      </c>
      <c r="AG26" s="24">
        <f t="shared" si="15"/>
        <v>2865638.52</v>
      </c>
      <c r="AH26" s="24">
        <f t="shared" si="15"/>
        <v>2865638.52</v>
      </c>
    </row>
    <row r="27" spans="1:34" x14ac:dyDescent="0.25">
      <c r="A27" s="81"/>
      <c r="B27" s="78" t="s">
        <v>45</v>
      </c>
      <c r="C27" s="87">
        <v>2025</v>
      </c>
      <c r="D27" s="37">
        <f>(1*(255*19)+(104*19))*70.02</f>
        <v>477606.42</v>
      </c>
      <c r="E27" s="37">
        <f>(1*(255*19)+(104*19))*70.02</f>
        <v>477606.42</v>
      </c>
      <c r="F27" s="37">
        <f>(1*(255*19)+(104*19))*70.02</f>
        <v>477606.42</v>
      </c>
      <c r="G27" s="19">
        <f>(1*(255*38)+(104*19))*70.02</f>
        <v>816853.32</v>
      </c>
      <c r="H27" s="19">
        <f>(1*(255*38)+(104*19))*70.02</f>
        <v>816853.32</v>
      </c>
      <c r="I27" s="19">
        <f>(1*(255*38)+(104*19))*70.02</f>
        <v>816853.32</v>
      </c>
      <c r="J27" s="21">
        <f>((255*57)+(104*19))*70.02</f>
        <v>1156100.22</v>
      </c>
      <c r="K27" s="21">
        <f>((255*57)+(104*19))*70.02</f>
        <v>1156100.22</v>
      </c>
      <c r="L27" s="21">
        <f>((255*57)+(104*19))*70.02</f>
        <v>1156100.22</v>
      </c>
      <c r="M27" s="22">
        <f t="shared" ref="M27:AH27" si="16">((255*132)+(104*22))*70.02</f>
        <v>2517078.96</v>
      </c>
      <c r="N27" s="22">
        <f t="shared" si="16"/>
        <v>2517078.96</v>
      </c>
      <c r="O27" s="23">
        <f t="shared" si="16"/>
        <v>2517078.96</v>
      </c>
      <c r="P27" s="23">
        <f t="shared" si="16"/>
        <v>2517078.96</v>
      </c>
      <c r="Q27" s="23">
        <f t="shared" si="16"/>
        <v>2517078.96</v>
      </c>
      <c r="R27" s="23">
        <f t="shared" si="16"/>
        <v>2517078.96</v>
      </c>
      <c r="S27" s="23">
        <f t="shared" si="16"/>
        <v>2517078.96</v>
      </c>
      <c r="T27" s="24">
        <f t="shared" si="16"/>
        <v>2517078.96</v>
      </c>
      <c r="U27" s="24">
        <f t="shared" si="16"/>
        <v>2517078.96</v>
      </c>
      <c r="V27" s="24">
        <f t="shared" si="16"/>
        <v>2517078.96</v>
      </c>
      <c r="W27" s="24">
        <f t="shared" si="16"/>
        <v>2517078.96</v>
      </c>
      <c r="X27" s="24">
        <f t="shared" si="16"/>
        <v>2517078.96</v>
      </c>
      <c r="Y27" s="24">
        <f t="shared" si="16"/>
        <v>2517078.96</v>
      </c>
      <c r="Z27" s="24">
        <f t="shared" si="16"/>
        <v>2517078.96</v>
      </c>
      <c r="AA27" s="24">
        <f t="shared" si="16"/>
        <v>2517078.96</v>
      </c>
      <c r="AB27" s="24">
        <f t="shared" si="16"/>
        <v>2517078.96</v>
      </c>
      <c r="AC27" s="24">
        <f t="shared" si="16"/>
        <v>2517078.96</v>
      </c>
      <c r="AD27" s="24">
        <f t="shared" si="16"/>
        <v>2517078.96</v>
      </c>
      <c r="AE27" s="24">
        <f t="shared" si="16"/>
        <v>2517078.96</v>
      </c>
      <c r="AF27" s="24">
        <f t="shared" si="16"/>
        <v>2517078.96</v>
      </c>
      <c r="AG27" s="24">
        <f t="shared" si="16"/>
        <v>2517078.96</v>
      </c>
      <c r="AH27" s="24">
        <f t="shared" si="16"/>
        <v>2517078.96</v>
      </c>
    </row>
    <row r="28" spans="1:34" x14ac:dyDescent="0.25">
      <c r="A28" s="81"/>
      <c r="B28" s="78" t="s">
        <v>46</v>
      </c>
      <c r="C28" s="87">
        <v>2035</v>
      </c>
      <c r="D28" s="37"/>
      <c r="E28" s="37"/>
      <c r="F28" s="37"/>
      <c r="G28" s="19"/>
      <c r="H28" s="19"/>
      <c r="I28" s="20"/>
      <c r="J28" s="21"/>
      <c r="K28" s="21"/>
      <c r="L28" s="21"/>
      <c r="M28" s="22"/>
      <c r="N28" s="22"/>
      <c r="O28" s="23">
        <f t="shared" ref="O28:AH28" si="17">((255*57)+(104*57))*70.02</f>
        <v>1432819.26</v>
      </c>
      <c r="P28" s="23">
        <f t="shared" si="17"/>
        <v>1432819.26</v>
      </c>
      <c r="Q28" s="23">
        <f t="shared" si="17"/>
        <v>1432819.26</v>
      </c>
      <c r="R28" s="23">
        <f t="shared" si="17"/>
        <v>1432819.26</v>
      </c>
      <c r="S28" s="23">
        <f t="shared" si="17"/>
        <v>1432819.26</v>
      </c>
      <c r="T28" s="24">
        <f t="shared" si="17"/>
        <v>1432819.26</v>
      </c>
      <c r="U28" s="24">
        <f t="shared" si="17"/>
        <v>1432819.26</v>
      </c>
      <c r="V28" s="24">
        <f t="shared" si="17"/>
        <v>1432819.26</v>
      </c>
      <c r="W28" s="24">
        <f t="shared" si="17"/>
        <v>1432819.26</v>
      </c>
      <c r="X28" s="24">
        <f t="shared" si="17"/>
        <v>1432819.26</v>
      </c>
      <c r="Y28" s="24">
        <f t="shared" si="17"/>
        <v>1432819.26</v>
      </c>
      <c r="Z28" s="24">
        <f t="shared" si="17"/>
        <v>1432819.26</v>
      </c>
      <c r="AA28" s="24">
        <f t="shared" si="17"/>
        <v>1432819.26</v>
      </c>
      <c r="AB28" s="24">
        <f t="shared" si="17"/>
        <v>1432819.26</v>
      </c>
      <c r="AC28" s="24">
        <f t="shared" si="17"/>
        <v>1432819.26</v>
      </c>
      <c r="AD28" s="24">
        <f t="shared" si="17"/>
        <v>1432819.26</v>
      </c>
      <c r="AE28" s="24">
        <f t="shared" si="17"/>
        <v>1432819.26</v>
      </c>
      <c r="AF28" s="24">
        <f t="shared" si="17"/>
        <v>1432819.26</v>
      </c>
      <c r="AG28" s="24">
        <f t="shared" si="17"/>
        <v>1432819.26</v>
      </c>
      <c r="AH28" s="24">
        <f t="shared" si="17"/>
        <v>1432819.26</v>
      </c>
    </row>
    <row r="29" spans="1:34" ht="15.75" thickBot="1" x14ac:dyDescent="0.3">
      <c r="A29" s="81"/>
      <c r="B29" s="79" t="s">
        <v>47</v>
      </c>
      <c r="C29" s="85">
        <v>2035</v>
      </c>
      <c r="D29" s="38"/>
      <c r="E29" s="38"/>
      <c r="F29" s="38"/>
      <c r="G29" s="19"/>
      <c r="H29" s="19"/>
      <c r="I29" s="20"/>
      <c r="J29" s="21"/>
      <c r="K29" s="21"/>
      <c r="L29" s="21"/>
      <c r="M29" s="22"/>
      <c r="N29" s="22"/>
      <c r="O29" s="23">
        <f t="shared" ref="O29:AH29" si="18">((255*19)+(104*19))*70.02</f>
        <v>477606.42</v>
      </c>
      <c r="P29" s="23">
        <f t="shared" si="18"/>
        <v>477606.42</v>
      </c>
      <c r="Q29" s="23">
        <f t="shared" si="18"/>
        <v>477606.42</v>
      </c>
      <c r="R29" s="23">
        <f t="shared" si="18"/>
        <v>477606.42</v>
      </c>
      <c r="S29" s="23">
        <f t="shared" si="18"/>
        <v>477606.42</v>
      </c>
      <c r="T29" s="24">
        <f t="shared" si="18"/>
        <v>477606.42</v>
      </c>
      <c r="U29" s="24">
        <f t="shared" si="18"/>
        <v>477606.42</v>
      </c>
      <c r="V29" s="24">
        <f t="shared" si="18"/>
        <v>477606.42</v>
      </c>
      <c r="W29" s="24">
        <f t="shared" si="18"/>
        <v>477606.42</v>
      </c>
      <c r="X29" s="24">
        <f t="shared" si="18"/>
        <v>477606.42</v>
      </c>
      <c r="Y29" s="24">
        <f t="shared" si="18"/>
        <v>477606.42</v>
      </c>
      <c r="Z29" s="24">
        <f t="shared" si="18"/>
        <v>477606.42</v>
      </c>
      <c r="AA29" s="24">
        <f t="shared" si="18"/>
        <v>477606.42</v>
      </c>
      <c r="AB29" s="24">
        <f t="shared" si="18"/>
        <v>477606.42</v>
      </c>
      <c r="AC29" s="24">
        <f t="shared" si="18"/>
        <v>477606.42</v>
      </c>
      <c r="AD29" s="24">
        <f t="shared" si="18"/>
        <v>477606.42</v>
      </c>
      <c r="AE29" s="24">
        <f t="shared" si="18"/>
        <v>477606.42</v>
      </c>
      <c r="AF29" s="24">
        <f t="shared" si="18"/>
        <v>477606.42</v>
      </c>
      <c r="AG29" s="24">
        <f t="shared" si="18"/>
        <v>477606.42</v>
      </c>
      <c r="AH29" s="24">
        <f t="shared" si="18"/>
        <v>477606.42</v>
      </c>
    </row>
    <row r="30" spans="1:34" s="82" customFormat="1" ht="15.75" thickBot="1" x14ac:dyDescent="0.3">
      <c r="A30" s="81"/>
      <c r="B30" s="75" t="s">
        <v>153</v>
      </c>
      <c r="C30" s="85">
        <v>2050</v>
      </c>
      <c r="D30" s="38"/>
      <c r="E30" s="38"/>
      <c r="F30" s="116"/>
      <c r="G30" s="117"/>
      <c r="H30" s="117"/>
      <c r="I30" s="118"/>
      <c r="J30" s="119"/>
      <c r="K30" s="120"/>
      <c r="L30" s="119"/>
      <c r="M30" s="121"/>
      <c r="N30" s="122"/>
      <c r="O30" s="123"/>
      <c r="P30" s="124"/>
      <c r="Q30" s="123"/>
      <c r="R30" s="124"/>
      <c r="S30" s="123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31">
        <v>1500000000</v>
      </c>
      <c r="AE30" s="131">
        <v>1500000000</v>
      </c>
      <c r="AF30" s="131">
        <v>1500000000</v>
      </c>
      <c r="AG30" s="131">
        <v>1500000000</v>
      </c>
      <c r="AH30" s="131">
        <v>1500000000</v>
      </c>
    </row>
    <row r="31" spans="1:34" ht="15.75" thickBot="1" x14ac:dyDescent="0.3">
      <c r="A31" s="81"/>
      <c r="B31" s="80" t="s">
        <v>48</v>
      </c>
      <c r="C31" s="114"/>
      <c r="D31" s="39">
        <f>SUM(D10:D29)*1.022</f>
        <v>3904910.0899200002</v>
      </c>
      <c r="E31" s="39">
        <f>SUM(E13:E29)*1.0445</f>
        <v>3990879.2455199999</v>
      </c>
      <c r="F31" s="40">
        <f>SUM(F13:F29)*1.0675</f>
        <v>4078758.8267999995</v>
      </c>
      <c r="G31" s="25">
        <f>SUM(G13:G29)*1.0909</f>
        <v>7128842.2943040002</v>
      </c>
      <c r="H31" s="25">
        <f>SUM(H10:H29)*1.1149</f>
        <v>7285678.1317440011</v>
      </c>
      <c r="I31" s="26">
        <f>SUM(I9:I29)*1.1395</f>
        <v>7446434.8651200002</v>
      </c>
      <c r="J31" s="27">
        <f>SUM(J9:J29)*1.1645</f>
        <v>18000474.438690003</v>
      </c>
      <c r="K31" s="28">
        <f>SUM(K9:K29)*1.1902</f>
        <v>18397736.948844001</v>
      </c>
      <c r="L31" s="27">
        <f>SUM(L9:L29)*1.2163</f>
        <v>18801182.533086002</v>
      </c>
      <c r="M31" s="29">
        <f>SUM(M9:M29)*1.2431</f>
        <v>32293662.346205998</v>
      </c>
      <c r="N31" s="30">
        <f>SUM(N9:N29)*1.2705</f>
        <v>33005468.595329996</v>
      </c>
      <c r="O31" s="31">
        <f>SUM(O9:O29)*1.2984</f>
        <v>42394728.815856002</v>
      </c>
      <c r="P31" s="32">
        <f>SUM(P9:P29)*1.327</f>
        <v>43328562.183180004</v>
      </c>
      <c r="Q31" s="31">
        <f>SUM(Q9:Q29)*1.3562</f>
        <v>44281986.460308008</v>
      </c>
      <c r="R31" s="32">
        <f>SUM(R9:R29)*1.386</f>
        <v>45255001.647239998</v>
      </c>
      <c r="S31" s="31">
        <f>SUM(S9:S29)*1.4165</f>
        <v>46250872.895610005</v>
      </c>
      <c r="T31" s="33">
        <f>SUM(T9:T29)*1.4477</f>
        <v>48452158.756782003</v>
      </c>
      <c r="U31" s="33">
        <f>SUM(U9:U29)*1.4795</f>
        <v>49516452.911970004</v>
      </c>
      <c r="V31" s="33">
        <f>SUM(V9:V29)*1.5121</f>
        <v>50607521.762886003</v>
      </c>
      <c r="W31" s="33">
        <f>SUM(W9:W29)*1.5453</f>
        <v>51718671.635598004</v>
      </c>
      <c r="X31" s="33">
        <f>FORECAST(X$8:AH$8,T$31:W$31,T$8:W$8)</f>
        <v>52796353.13864994</v>
      </c>
      <c r="Y31" s="33">
        <f t="shared" ref="Y31:AA31" si="19">FORECAST(Y$8:AI$8,U$31:X$31,U$8:X$8)</f>
        <v>53897462.500463963</v>
      </c>
      <c r="Z31" s="33">
        <f t="shared" si="19"/>
        <v>54991878.188345909</v>
      </c>
      <c r="AA31" s="33">
        <f t="shared" si="19"/>
        <v>56081273.620779037</v>
      </c>
      <c r="AB31" s="33">
        <f>FORECAST(AB$8:AL$8,X$31:AA$31,X$8:AA8)</f>
        <v>57179036.145627022</v>
      </c>
      <c r="AC31" s="33">
        <f>FORECAST(AC$8:AM$8,Y$31:AB$31,Y$8:AB8)</f>
        <v>58270941.705784798</v>
      </c>
      <c r="AD31" s="33">
        <f>FORECAST(AD$8:AN$8,Z$31:AC$31,Z$8:AC8)</f>
        <v>59364520.684425354</v>
      </c>
      <c r="AE31" s="33">
        <f>FORECAST(AE$8:AO$8,AA$31:AD$31,AA$8:AD8)</f>
        <v>60459354.726928234</v>
      </c>
      <c r="AF31" s="33">
        <f>FORECAST(AF$8:AP$8,AB$31:AE$31,AB$8:AE8)</f>
        <v>61552096.9963274</v>
      </c>
      <c r="AG31" s="33">
        <f>FORECAST(AG$8:AQ$8,AC$31:AF$31,AC$8:AF8)</f>
        <v>62646303.506899357</v>
      </c>
      <c r="AH31" s="33">
        <f>FORECAST(AH$8:AR$8,AD$31:AG$31,AD$8:AG8)</f>
        <v>63740091.66285038</v>
      </c>
    </row>
    <row r="32" spans="1:34" ht="15.75" thickBot="1" x14ac:dyDescent="0.3">
      <c r="A32" s="81"/>
      <c r="X32" s="130"/>
    </row>
    <row r="33" spans="1:30" x14ac:dyDescent="0.25">
      <c r="A33" s="81"/>
      <c r="G33" s="132">
        <f>SUM(F31:S31)</f>
        <v>367949390.98231804</v>
      </c>
      <c r="U33">
        <f>1.5121-1.4795</f>
        <v>3.2599999999999962E-2</v>
      </c>
      <c r="V33">
        <f>1.5121-1.5453</f>
        <v>-3.3199999999999896E-2</v>
      </c>
      <c r="AD33" s="133">
        <f>SUM(AD31:AH31)</f>
        <v>307762367.57743073</v>
      </c>
    </row>
    <row r="34" spans="1:30" x14ac:dyDescent="0.25">
      <c r="A34" s="81"/>
      <c r="U34" s="126">
        <f>U33/1.4795</f>
        <v>2.2034471105103048E-2</v>
      </c>
      <c r="V34">
        <f>V33/1.5121</f>
        <v>-2.1956219826730967E-2</v>
      </c>
      <c r="X34" s="132">
        <f>SUM(T31:AC31)</f>
        <v>533511750.36688668</v>
      </c>
    </row>
    <row r="35" spans="1:30" x14ac:dyDescent="0.25">
      <c r="A35" s="81"/>
    </row>
    <row r="36" spans="1:30" x14ac:dyDescent="0.25">
      <c r="A36" s="81"/>
    </row>
    <row r="37" spans="1:30" x14ac:dyDescent="0.25">
      <c r="A37" s="81"/>
    </row>
    <row r="38" spans="1:30" x14ac:dyDescent="0.25">
      <c r="A38" s="81"/>
    </row>
    <row r="39" spans="1:30" x14ac:dyDescent="0.25">
      <c r="A39" s="81"/>
    </row>
    <row r="40" spans="1:30" x14ac:dyDescent="0.25">
      <c r="A40" s="81"/>
    </row>
    <row r="41" spans="1:30" x14ac:dyDescent="0.25">
      <c r="A41" s="81"/>
    </row>
    <row r="42" spans="1:30" x14ac:dyDescent="0.25">
      <c r="A42" s="81"/>
    </row>
    <row r="43" spans="1:30" x14ac:dyDescent="0.25">
      <c r="A43" s="81"/>
    </row>
    <row r="44" spans="1:30" x14ac:dyDescent="0.25">
      <c r="A44" s="81"/>
    </row>
    <row r="45" spans="1:30" x14ac:dyDescent="0.25">
      <c r="A45" s="81"/>
    </row>
  </sheetData>
  <mergeCells count="6">
    <mergeCell ref="T4:W4"/>
    <mergeCell ref="D4:F4"/>
    <mergeCell ref="G4:I4"/>
    <mergeCell ref="J4:L4"/>
    <mergeCell ref="M4:N4"/>
    <mergeCell ref="O4:S4"/>
  </mergeCells>
  <pageMargins left="0.7" right="0.7" top="0.75" bottom="0.75" header="0.3" footer="0.3"/>
  <pageSetup paperSize="132" scale="48" orientation="landscape" r:id="rId1"/>
  <headerFooter>
    <oddHeader>&amp;C&amp;"-,Bold"&amp;16Cabarrus County Long Range Public Transportation Master Plan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A27" workbookViewId="0">
      <selection activeCell="A56" sqref="A56"/>
    </sheetView>
  </sheetViews>
  <sheetFormatPr defaultRowHeight="15" x14ac:dyDescent="0.25"/>
  <cols>
    <col min="1" max="1" width="28.7109375" customWidth="1"/>
    <col min="2" max="2" width="22.42578125" bestFit="1" customWidth="1"/>
    <col min="3" max="3" width="28.28515625" customWidth="1"/>
    <col min="5" max="5" width="9.5703125" customWidth="1"/>
    <col min="9" max="10" width="10.140625" bestFit="1" customWidth="1"/>
    <col min="12" max="22" width="10.140625" bestFit="1" customWidth="1"/>
  </cols>
  <sheetData>
    <row r="1" spans="1:5" ht="15.75" thickBot="1" x14ac:dyDescent="0.3"/>
    <row r="2" spans="1:5" x14ac:dyDescent="0.25">
      <c r="B2" s="145" t="s">
        <v>50</v>
      </c>
      <c r="C2" s="146"/>
      <c r="D2" s="146"/>
      <c r="E2" s="147"/>
    </row>
    <row r="3" spans="1:5" x14ac:dyDescent="0.25">
      <c r="B3" s="148" t="s">
        <v>49</v>
      </c>
      <c r="C3" s="150" t="s">
        <v>51</v>
      </c>
      <c r="D3" s="152" t="s">
        <v>52</v>
      </c>
      <c r="E3" s="154" t="s">
        <v>53</v>
      </c>
    </row>
    <row r="4" spans="1:5" x14ac:dyDescent="0.25">
      <c r="A4" s="6"/>
      <c r="B4" s="149"/>
      <c r="C4" s="151"/>
      <c r="D4" s="153"/>
      <c r="E4" s="155"/>
    </row>
    <row r="5" spans="1:5" ht="15" customHeight="1" x14ac:dyDescent="0.25">
      <c r="A5" s="6"/>
      <c r="B5" s="47" t="s">
        <v>7</v>
      </c>
      <c r="C5" s="48">
        <v>1</v>
      </c>
      <c r="D5" s="49">
        <v>2.1999999999999999E-2</v>
      </c>
      <c r="E5" s="50">
        <v>1.022</v>
      </c>
    </row>
    <row r="6" spans="1:5" x14ac:dyDescent="0.25">
      <c r="B6" s="47" t="s">
        <v>8</v>
      </c>
      <c r="C6" s="51">
        <v>2</v>
      </c>
      <c r="D6" s="49">
        <v>2.1999999999999999E-2</v>
      </c>
      <c r="E6" s="50">
        <v>1.0445</v>
      </c>
    </row>
    <row r="7" spans="1:5" x14ac:dyDescent="0.25">
      <c r="B7" s="47" t="s">
        <v>9</v>
      </c>
      <c r="C7" s="51">
        <v>3</v>
      </c>
      <c r="D7" s="49">
        <v>2.1999999999999999E-2</v>
      </c>
      <c r="E7" s="50">
        <v>1.0674999999999999</v>
      </c>
    </row>
    <row r="8" spans="1:5" x14ac:dyDescent="0.25">
      <c r="A8" s="18"/>
      <c r="B8" s="47" t="s">
        <v>10</v>
      </c>
      <c r="C8" s="51">
        <v>4</v>
      </c>
      <c r="D8" s="49">
        <v>2.1999999999999999E-2</v>
      </c>
      <c r="E8" s="50">
        <v>1.0909</v>
      </c>
    </row>
    <row r="9" spans="1:5" x14ac:dyDescent="0.25">
      <c r="A9" s="18"/>
      <c r="B9" s="47" t="s">
        <v>11</v>
      </c>
      <c r="C9" s="51">
        <v>5</v>
      </c>
      <c r="D9" s="49">
        <v>2.1999999999999999E-2</v>
      </c>
      <c r="E9" s="50">
        <v>1.1149</v>
      </c>
    </row>
    <row r="10" spans="1:5" x14ac:dyDescent="0.25">
      <c r="A10" s="18"/>
      <c r="B10" s="47" t="s">
        <v>12</v>
      </c>
      <c r="C10" s="51">
        <v>6</v>
      </c>
      <c r="D10" s="49">
        <v>2.1999999999999999E-2</v>
      </c>
      <c r="E10" s="50">
        <v>1.1395</v>
      </c>
    </row>
    <row r="11" spans="1:5" x14ac:dyDescent="0.25">
      <c r="A11" s="18"/>
      <c r="B11" s="47" t="s">
        <v>13</v>
      </c>
      <c r="C11" s="51">
        <v>7</v>
      </c>
      <c r="D11" s="49">
        <v>2.1999999999999999E-2</v>
      </c>
      <c r="E11" s="50">
        <v>1.1645000000000001</v>
      </c>
    </row>
    <row r="12" spans="1:5" x14ac:dyDescent="0.25">
      <c r="A12" s="18"/>
      <c r="B12" s="47" t="s">
        <v>14</v>
      </c>
      <c r="C12" s="51">
        <v>8</v>
      </c>
      <c r="D12" s="49">
        <v>2.1999999999999999E-2</v>
      </c>
      <c r="E12" s="50">
        <v>1.1901999999999999</v>
      </c>
    </row>
    <row r="13" spans="1:5" x14ac:dyDescent="0.25">
      <c r="A13" s="18"/>
      <c r="B13" s="47" t="s">
        <v>15</v>
      </c>
      <c r="C13" s="51">
        <v>9</v>
      </c>
      <c r="D13" s="49">
        <v>2.1999999999999999E-2</v>
      </c>
      <c r="E13" s="50">
        <v>1.2162999999999999</v>
      </c>
    </row>
    <row r="14" spans="1:5" x14ac:dyDescent="0.25">
      <c r="A14" s="18"/>
      <c r="B14" s="47" t="s">
        <v>16</v>
      </c>
      <c r="C14" s="52">
        <v>10</v>
      </c>
      <c r="D14" s="53">
        <v>2.1999999999999999E-2</v>
      </c>
      <c r="E14" s="50">
        <v>1.2431000000000001</v>
      </c>
    </row>
    <row r="15" spans="1:5" x14ac:dyDescent="0.25">
      <c r="A15" s="18"/>
      <c r="B15" s="47" t="s">
        <v>17</v>
      </c>
      <c r="C15" s="51">
        <v>11</v>
      </c>
      <c r="D15" s="54">
        <v>2.1999999999999999E-2</v>
      </c>
      <c r="E15" s="50">
        <v>1.2705</v>
      </c>
    </row>
    <row r="16" spans="1:5" x14ac:dyDescent="0.25">
      <c r="A16" s="18"/>
      <c r="B16" s="47" t="s">
        <v>18</v>
      </c>
      <c r="C16" s="51">
        <v>12</v>
      </c>
      <c r="D16" s="54">
        <v>2.1999999999999999E-2</v>
      </c>
      <c r="E16" s="50">
        <v>1.2984</v>
      </c>
    </row>
    <row r="17" spans="1:5" x14ac:dyDescent="0.25">
      <c r="A17" s="18"/>
      <c r="B17" s="47" t="s">
        <v>19</v>
      </c>
      <c r="C17" s="51">
        <v>13</v>
      </c>
      <c r="D17" s="54">
        <v>2.1999999999999999E-2</v>
      </c>
      <c r="E17" s="50">
        <v>1.327</v>
      </c>
    </row>
    <row r="18" spans="1:5" x14ac:dyDescent="0.25">
      <c r="A18" s="18"/>
      <c r="B18" s="47" t="s">
        <v>20</v>
      </c>
      <c r="C18" s="51">
        <v>14</v>
      </c>
      <c r="D18" s="54">
        <v>2.1999999999999999E-2</v>
      </c>
      <c r="E18" s="50">
        <v>1.3562000000000001</v>
      </c>
    </row>
    <row r="19" spans="1:5" x14ac:dyDescent="0.25">
      <c r="A19" s="18"/>
      <c r="B19" s="47" t="s">
        <v>21</v>
      </c>
      <c r="C19" s="51">
        <v>15</v>
      </c>
      <c r="D19" s="54">
        <v>2.1999999999999999E-2</v>
      </c>
      <c r="E19" s="50">
        <v>1.3859999999999999</v>
      </c>
    </row>
    <row r="20" spans="1:5" x14ac:dyDescent="0.25">
      <c r="A20" s="18"/>
      <c r="B20" s="47" t="s">
        <v>22</v>
      </c>
      <c r="C20" s="55">
        <v>16</v>
      </c>
      <c r="D20" s="54">
        <v>2.1999999999999999E-2</v>
      </c>
      <c r="E20" s="50">
        <v>1.4165000000000001</v>
      </c>
    </row>
    <row r="21" spans="1:5" x14ac:dyDescent="0.25">
      <c r="A21" s="18"/>
      <c r="B21" s="47" t="s">
        <v>23</v>
      </c>
      <c r="C21" s="56">
        <v>17</v>
      </c>
      <c r="D21" s="57">
        <v>2.1999999999999999E-2</v>
      </c>
      <c r="E21" s="50">
        <v>1.4477</v>
      </c>
    </row>
    <row r="22" spans="1:5" x14ac:dyDescent="0.25">
      <c r="A22" s="18"/>
      <c r="B22" s="47" t="s">
        <v>24</v>
      </c>
      <c r="C22" s="55">
        <v>18</v>
      </c>
      <c r="D22" s="54">
        <v>2.1999999999999999E-2</v>
      </c>
      <c r="E22" s="50">
        <v>1.4795</v>
      </c>
    </row>
    <row r="23" spans="1:5" x14ac:dyDescent="0.25">
      <c r="A23" s="18"/>
      <c r="B23" s="47" t="s">
        <v>25</v>
      </c>
      <c r="C23" s="55">
        <v>19</v>
      </c>
      <c r="D23" s="54">
        <v>2.1999999999999999E-2</v>
      </c>
      <c r="E23" s="50">
        <v>1.5121</v>
      </c>
    </row>
    <row r="24" spans="1:5" ht="15.75" thickBot="1" x14ac:dyDescent="0.3">
      <c r="A24" s="18"/>
      <c r="B24" s="58" t="s">
        <v>26</v>
      </c>
      <c r="C24" s="59">
        <v>20</v>
      </c>
      <c r="D24" s="60">
        <v>2.1999999999999999E-2</v>
      </c>
      <c r="E24" s="50">
        <v>1.5452999999999999</v>
      </c>
    </row>
    <row r="25" spans="1:5" x14ac:dyDescent="0.25">
      <c r="A25" s="18"/>
    </row>
    <row r="26" spans="1:5" x14ac:dyDescent="0.25">
      <c r="A26" s="18"/>
      <c r="B26" s="105" t="s">
        <v>136</v>
      </c>
    </row>
    <row r="27" spans="1:5" x14ac:dyDescent="0.25">
      <c r="A27" s="18"/>
    </row>
    <row r="28" spans="1:5" x14ac:dyDescent="0.25">
      <c r="A28" s="18"/>
      <c r="B28" t="s">
        <v>137</v>
      </c>
    </row>
    <row r="29" spans="1:5" x14ac:dyDescent="0.25">
      <c r="A29" s="18"/>
      <c r="B29" t="s">
        <v>138</v>
      </c>
    </row>
    <row r="30" spans="1:5" x14ac:dyDescent="0.25">
      <c r="B30" t="s">
        <v>139</v>
      </c>
    </row>
    <row r="31" spans="1:5" x14ac:dyDescent="0.25">
      <c r="B31" t="s">
        <v>140</v>
      </c>
    </row>
    <row r="32" spans="1:5" x14ac:dyDescent="0.25">
      <c r="B32" t="s">
        <v>141</v>
      </c>
    </row>
    <row r="33" spans="1:23" s="82" customFormat="1" x14ac:dyDescent="0.25">
      <c r="B33" s="82" t="s">
        <v>148</v>
      </c>
    </row>
    <row r="34" spans="1:23" s="82" customFormat="1" x14ac:dyDescent="0.25">
      <c r="B34" s="82" t="s">
        <v>147</v>
      </c>
    </row>
    <row r="35" spans="1:23" s="82" customFormat="1" x14ac:dyDescent="0.25">
      <c r="B35" s="82" t="s">
        <v>149</v>
      </c>
    </row>
    <row r="37" spans="1:23" x14ac:dyDescent="0.25">
      <c r="C37" t="s">
        <v>142</v>
      </c>
      <c r="D37" t="s">
        <v>74</v>
      </c>
      <c r="E37" s="82" t="s">
        <v>75</v>
      </c>
      <c r="F37" s="82" t="s">
        <v>76</v>
      </c>
      <c r="G37" s="82" t="s">
        <v>77</v>
      </c>
      <c r="H37" s="82" t="s">
        <v>78</v>
      </c>
      <c r="I37" s="82" t="s">
        <v>79</v>
      </c>
      <c r="J37" s="82" t="s">
        <v>80</v>
      </c>
      <c r="K37" s="82" t="s">
        <v>81</v>
      </c>
      <c r="L37" s="82" t="s">
        <v>82</v>
      </c>
      <c r="M37" s="82" t="s">
        <v>83</v>
      </c>
      <c r="N37" s="82" t="s">
        <v>84</v>
      </c>
      <c r="O37" s="82" t="s">
        <v>85</v>
      </c>
      <c r="P37" s="82" t="s">
        <v>86</v>
      </c>
      <c r="Q37" s="82" t="s">
        <v>87</v>
      </c>
      <c r="R37" s="82" t="s">
        <v>88</v>
      </c>
      <c r="S37" s="82" t="s">
        <v>89</v>
      </c>
      <c r="T37" s="82" t="s">
        <v>90</v>
      </c>
      <c r="U37" s="82" t="s">
        <v>91</v>
      </c>
      <c r="V37" s="82" t="s">
        <v>92</v>
      </c>
      <c r="W37" s="82" t="s">
        <v>93</v>
      </c>
    </row>
    <row r="38" spans="1:23" s="82" customFormat="1" x14ac:dyDescent="0.25">
      <c r="B38" s="82" t="s">
        <v>143</v>
      </c>
    </row>
    <row r="39" spans="1:23" x14ac:dyDescent="0.25">
      <c r="A39" t="s">
        <v>144</v>
      </c>
      <c r="B39">
        <v>99801</v>
      </c>
      <c r="D39" s="106">
        <f>B39*1.025</f>
        <v>102296.02499999999</v>
      </c>
      <c r="E39" s="106">
        <f t="shared" ref="E39:F39" si="0">D39*1.025</f>
        <v>104853.42562499999</v>
      </c>
      <c r="F39" s="106">
        <f t="shared" si="0"/>
        <v>107474.76126562498</v>
      </c>
      <c r="G39" s="106">
        <f>SUM(F39*2)*1.025</f>
        <v>220323.2605945312</v>
      </c>
      <c r="H39" s="106">
        <f>G39*1.025</f>
        <v>225831.34210939446</v>
      </c>
      <c r="I39" s="106">
        <f t="shared" ref="I39:W39" si="1">H39*1.025</f>
        <v>231477.12566212931</v>
      </c>
      <c r="J39" s="106">
        <f t="shared" si="1"/>
        <v>237264.05380368253</v>
      </c>
      <c r="K39" s="106">
        <f t="shared" si="1"/>
        <v>243195.65514877456</v>
      </c>
      <c r="L39" s="106">
        <f t="shared" si="1"/>
        <v>249275.54652749389</v>
      </c>
      <c r="M39" s="106">
        <f t="shared" si="1"/>
        <v>255507.43519068122</v>
      </c>
      <c r="N39" s="106">
        <f t="shared" si="1"/>
        <v>261895.12107044822</v>
      </c>
      <c r="O39" s="106">
        <f t="shared" si="1"/>
        <v>268442.49909720942</v>
      </c>
      <c r="P39" s="106">
        <f t="shared" si="1"/>
        <v>275153.56157463964</v>
      </c>
      <c r="Q39" s="106">
        <f t="shared" si="1"/>
        <v>282032.40061400563</v>
      </c>
      <c r="R39" s="106">
        <f t="shared" si="1"/>
        <v>289083.21062935574</v>
      </c>
      <c r="S39" s="106">
        <f t="shared" si="1"/>
        <v>296310.29089508962</v>
      </c>
      <c r="T39" s="106">
        <f t="shared" si="1"/>
        <v>303718.04816746683</v>
      </c>
      <c r="U39" s="106">
        <f t="shared" si="1"/>
        <v>311310.99937165348</v>
      </c>
      <c r="V39" s="106">
        <f t="shared" si="1"/>
        <v>319093.77435594477</v>
      </c>
      <c r="W39" s="106">
        <f t="shared" si="1"/>
        <v>327071.11871484335</v>
      </c>
    </row>
    <row r="40" spans="1:23" s="107" customFormat="1" x14ac:dyDescent="0.25">
      <c r="A40" s="107" t="s">
        <v>146</v>
      </c>
      <c r="B40" s="107">
        <v>22</v>
      </c>
      <c r="D40" s="107">
        <f>D39/D41</f>
        <v>22.549999999999997</v>
      </c>
      <c r="E40" s="107">
        <f t="shared" ref="E40:H40" si="2">E39/E41</f>
        <v>23.113749999999996</v>
      </c>
      <c r="F40" s="107">
        <f t="shared" si="2"/>
        <v>23.691593749999996</v>
      </c>
      <c r="G40" s="107">
        <f t="shared" si="2"/>
        <v>48.567767187499989</v>
      </c>
      <c r="H40" s="107">
        <f t="shared" si="2"/>
        <v>49.781961367187485</v>
      </c>
      <c r="I40" s="107">
        <f t="shared" ref="I40" si="3">I39/I41</f>
        <v>51.026510401367169</v>
      </c>
      <c r="J40" s="107">
        <f t="shared" ref="J40" si="4">J39/J41</f>
        <v>52.302173161401342</v>
      </c>
      <c r="K40" s="107">
        <f t="shared" ref="K40:L40" si="5">K39/K41</f>
        <v>53.60972749043637</v>
      </c>
      <c r="L40" s="107">
        <f t="shared" si="5"/>
        <v>54.949970677697273</v>
      </c>
      <c r="M40" s="107">
        <f t="shared" ref="M40" si="6">M39/M41</f>
        <v>56.323719944639699</v>
      </c>
      <c r="N40" s="107">
        <f t="shared" ref="N40" si="7">N39/N41</f>
        <v>57.73181294325569</v>
      </c>
      <c r="O40" s="107">
        <f t="shared" ref="O40:P40" si="8">O39/O41</f>
        <v>59.175108266837078</v>
      </c>
      <c r="P40" s="107">
        <f t="shared" si="8"/>
        <v>60.654485973508002</v>
      </c>
      <c r="Q40" s="107">
        <f t="shared" ref="Q40" si="9">Q39/Q41</f>
        <v>62.170848122845698</v>
      </c>
      <c r="R40" s="107">
        <f t="shared" ref="R40" si="10">R39/R41</f>
        <v>63.725119325916836</v>
      </c>
      <c r="S40" s="107">
        <f t="shared" ref="S40:T40" si="11">S39/S41</f>
        <v>65.318247309064759</v>
      </c>
      <c r="T40" s="107">
        <f t="shared" si="11"/>
        <v>66.951203491791361</v>
      </c>
      <c r="U40" s="107">
        <f t="shared" ref="U40" si="12">U39/U41</f>
        <v>68.624983579086148</v>
      </c>
      <c r="V40" s="107">
        <f t="shared" ref="V40" si="13">V39/V41</f>
        <v>70.340608168563293</v>
      </c>
      <c r="W40" s="107">
        <f t="shared" ref="W40" si="14">W39/W41</f>
        <v>72.099123372777356</v>
      </c>
    </row>
    <row r="41" spans="1:23" s="106" customFormat="1" x14ac:dyDescent="0.25">
      <c r="A41" s="106" t="s">
        <v>145</v>
      </c>
      <c r="D41" s="106">
        <f>B39/B40</f>
        <v>4536.409090909091</v>
      </c>
      <c r="E41" s="106">
        <v>4536.409090909091</v>
      </c>
      <c r="F41" s="106">
        <v>4536.409090909091</v>
      </c>
      <c r="G41" s="106">
        <v>4536.409090909091</v>
      </c>
      <c r="H41" s="106">
        <v>4536.409090909091</v>
      </c>
      <c r="I41" s="106">
        <v>4536.409090909091</v>
      </c>
      <c r="J41" s="106">
        <v>4536.409090909091</v>
      </c>
      <c r="K41" s="106">
        <v>4536.409090909091</v>
      </c>
      <c r="L41" s="106">
        <v>4536.409090909091</v>
      </c>
      <c r="M41" s="106">
        <v>4536.409090909091</v>
      </c>
      <c r="N41" s="106">
        <v>4536.409090909091</v>
      </c>
      <c r="O41" s="106">
        <v>4536.409090909091</v>
      </c>
      <c r="P41" s="106">
        <v>4536.409090909091</v>
      </c>
      <c r="Q41" s="106">
        <v>4536.409090909091</v>
      </c>
      <c r="R41" s="106">
        <v>4536.409090909091</v>
      </c>
      <c r="S41" s="106">
        <v>4536.409090909091</v>
      </c>
      <c r="T41" s="106">
        <v>4536.409090909091</v>
      </c>
      <c r="U41" s="106">
        <v>4536.409090909091</v>
      </c>
      <c r="V41" s="106">
        <v>4536.409090909091</v>
      </c>
      <c r="W41" s="106">
        <v>4536.409090909091</v>
      </c>
    </row>
    <row r="42" spans="1:23" x14ac:dyDescent="0.25">
      <c r="A42" t="s">
        <v>151</v>
      </c>
      <c r="B42">
        <v>1.7324999999999999</v>
      </c>
      <c r="D42">
        <v>1.7324999999999999</v>
      </c>
      <c r="E42">
        <v>1.7324999999999999</v>
      </c>
      <c r="F42">
        <v>1.7324999999999999</v>
      </c>
      <c r="G42">
        <v>1.7324999999999999</v>
      </c>
      <c r="H42">
        <v>1.7324999999999999</v>
      </c>
      <c r="I42">
        <v>1.7324999999999999</v>
      </c>
      <c r="J42">
        <v>1.7324999999999999</v>
      </c>
      <c r="K42">
        <v>1.7324999999999999</v>
      </c>
      <c r="L42">
        <v>1.7324999999999999</v>
      </c>
      <c r="M42">
        <v>1.7324999999999999</v>
      </c>
      <c r="N42">
        <v>1.7324999999999999</v>
      </c>
      <c r="O42">
        <v>1.7324999999999999</v>
      </c>
      <c r="P42">
        <v>1.7324999999999999</v>
      </c>
      <c r="Q42">
        <v>1.7324999999999999</v>
      </c>
      <c r="R42">
        <v>1.7324999999999999</v>
      </c>
      <c r="S42">
        <v>1.7324999999999999</v>
      </c>
      <c r="T42">
        <v>1.7324999999999999</v>
      </c>
      <c r="U42">
        <v>1.7324999999999999</v>
      </c>
      <c r="V42">
        <v>1.7324999999999999</v>
      </c>
      <c r="W42">
        <v>1.7324999999999999</v>
      </c>
    </row>
    <row r="43" spans="1:23" x14ac:dyDescent="0.25">
      <c r="A43" t="s">
        <v>150</v>
      </c>
      <c r="D43">
        <f>D39/D42</f>
        <v>59045.324675324671</v>
      </c>
      <c r="E43" s="82">
        <f>E39/E42</f>
        <v>60521.457792207788</v>
      </c>
      <c r="F43" s="82">
        <f t="shared" ref="F43:W43" si="15">F39/F42</f>
        <v>62034.494237012979</v>
      </c>
      <c r="G43" s="82">
        <f t="shared" si="15"/>
        <v>127170.71318587659</v>
      </c>
      <c r="H43" s="82">
        <f t="shared" si="15"/>
        <v>130349.9810155235</v>
      </c>
      <c r="I43" s="82">
        <f t="shared" si="15"/>
        <v>133608.73054091158</v>
      </c>
      <c r="J43" s="82">
        <f t="shared" si="15"/>
        <v>136948.94880443436</v>
      </c>
      <c r="K43" s="82">
        <f t="shared" si="15"/>
        <v>140372.6725245452</v>
      </c>
      <c r="L43" s="82">
        <f t="shared" si="15"/>
        <v>143881.98933765883</v>
      </c>
      <c r="M43" s="82">
        <f t="shared" si="15"/>
        <v>147479.03907110027</v>
      </c>
      <c r="N43" s="82">
        <f t="shared" si="15"/>
        <v>151166.01504787777</v>
      </c>
      <c r="O43" s="82">
        <f t="shared" si="15"/>
        <v>154945.16542407472</v>
      </c>
      <c r="P43" s="82">
        <f t="shared" si="15"/>
        <v>158818.79455967658</v>
      </c>
      <c r="Q43" s="82">
        <f t="shared" si="15"/>
        <v>162789.26442366847</v>
      </c>
      <c r="R43" s="82">
        <f t="shared" si="15"/>
        <v>166858.99603426017</v>
      </c>
      <c r="S43" s="82">
        <f t="shared" si="15"/>
        <v>171030.47093511667</v>
      </c>
      <c r="T43" s="82">
        <f t="shared" si="15"/>
        <v>175306.23270849456</v>
      </c>
      <c r="U43" s="82">
        <f t="shared" si="15"/>
        <v>179688.88852620692</v>
      </c>
      <c r="V43" s="82">
        <f t="shared" si="15"/>
        <v>184181.11073936208</v>
      </c>
      <c r="W43" s="82">
        <f t="shared" si="15"/>
        <v>188785.6385078461</v>
      </c>
    </row>
  </sheetData>
  <mergeCells count="5">
    <mergeCell ref="B2:E2"/>
    <mergeCell ref="B3:B4"/>
    <mergeCell ref="C3:C4"/>
    <mergeCell ref="D3:D4"/>
    <mergeCell ref="E3:E4"/>
  </mergeCells>
  <pageMargins left="0.7" right="0.7" top="0.75" bottom="0.75" header="0.3" footer="0.3"/>
  <pageSetup orientation="portrait" r:id="rId1"/>
  <ignoredErrors>
    <ignoredError sqref="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0"/>
  <sheetViews>
    <sheetView workbookViewId="0">
      <selection activeCell="I5" sqref="I5:I13"/>
    </sheetView>
  </sheetViews>
  <sheetFormatPr defaultColWidth="11.5703125" defaultRowHeight="15" x14ac:dyDescent="0.25"/>
  <cols>
    <col min="5" max="5" width="9.140625" bestFit="1" customWidth="1"/>
    <col min="18" max="19" width="11.5703125" style="89"/>
    <col min="20" max="20" width="15.140625" bestFit="1" customWidth="1"/>
  </cols>
  <sheetData>
    <row r="3" spans="1:20" ht="14.45" customHeight="1" x14ac:dyDescent="0.25">
      <c r="A3" s="4"/>
      <c r="B3" s="143" t="s">
        <v>94</v>
      </c>
      <c r="C3" s="143"/>
      <c r="D3" s="143"/>
      <c r="E3" s="143"/>
      <c r="F3" s="143"/>
      <c r="G3" s="143"/>
      <c r="H3" s="143"/>
      <c r="I3" s="143"/>
      <c r="J3" s="144" t="s">
        <v>103</v>
      </c>
      <c r="K3" s="144"/>
      <c r="L3" s="144"/>
      <c r="M3" s="144"/>
      <c r="N3" s="144"/>
      <c r="O3" s="144"/>
      <c r="P3" s="144"/>
      <c r="Q3" s="144"/>
      <c r="R3" s="91"/>
      <c r="S3" s="91"/>
    </row>
    <row r="4" spans="1:20" ht="57" customHeight="1" thickBot="1" x14ac:dyDescent="0.3">
      <c r="A4" s="97" t="s">
        <v>73</v>
      </c>
      <c r="B4" s="98" t="s">
        <v>100</v>
      </c>
      <c r="C4" s="97" t="s">
        <v>95</v>
      </c>
      <c r="D4" s="97" t="s">
        <v>96</v>
      </c>
      <c r="E4" s="97" t="s">
        <v>101</v>
      </c>
      <c r="F4" s="97" t="s">
        <v>97</v>
      </c>
      <c r="G4" s="97" t="s">
        <v>98</v>
      </c>
      <c r="H4" s="97" t="s">
        <v>99</v>
      </c>
      <c r="I4" s="97" t="s">
        <v>102</v>
      </c>
      <c r="J4" s="92" t="s">
        <v>100</v>
      </c>
      <c r="K4" s="93" t="s">
        <v>95</v>
      </c>
      <c r="L4" s="93" t="s">
        <v>96</v>
      </c>
      <c r="M4" s="93" t="s">
        <v>101</v>
      </c>
      <c r="N4" s="93" t="s">
        <v>97</v>
      </c>
      <c r="O4" s="93" t="s">
        <v>98</v>
      </c>
      <c r="P4" s="93" t="s">
        <v>99</v>
      </c>
      <c r="Q4" s="93" t="s">
        <v>102</v>
      </c>
      <c r="R4" s="90" t="s">
        <v>107</v>
      </c>
      <c r="S4" s="90" t="s">
        <v>108</v>
      </c>
      <c r="T4" s="90" t="s">
        <v>106</v>
      </c>
    </row>
    <row r="5" spans="1:20" ht="15.75" thickTop="1" x14ac:dyDescent="0.25">
      <c r="A5" s="77" t="s">
        <v>31</v>
      </c>
      <c r="B5" s="77">
        <v>1</v>
      </c>
      <c r="C5" s="99">
        <v>0.22916666666666666</v>
      </c>
      <c r="D5" s="99">
        <v>2.0833333333333332E-2</v>
      </c>
      <c r="E5" s="100">
        <v>19</v>
      </c>
      <c r="F5" s="100">
        <v>60</v>
      </c>
      <c r="G5" s="100">
        <v>60</v>
      </c>
      <c r="H5" s="100">
        <f>E5*I5</f>
        <v>19</v>
      </c>
      <c r="I5" s="77">
        <f>F5/G5</f>
        <v>1</v>
      </c>
      <c r="J5" s="94">
        <v>1</v>
      </c>
      <c r="K5" s="95">
        <v>0.22916666666666666</v>
      </c>
      <c r="L5" s="95">
        <v>2.0833333333333332E-2</v>
      </c>
      <c r="M5" s="96">
        <v>19</v>
      </c>
      <c r="N5" s="96">
        <v>60</v>
      </c>
      <c r="O5" s="96">
        <v>60</v>
      </c>
      <c r="P5" s="96">
        <f>M5*Q5</f>
        <v>19</v>
      </c>
      <c r="Q5" s="94">
        <f>N5/O5</f>
        <v>1</v>
      </c>
      <c r="R5" s="86">
        <f>H5*K15</f>
        <v>4845</v>
      </c>
      <c r="S5" s="86">
        <f>M5*L15</f>
        <v>1976</v>
      </c>
      <c r="T5" s="101">
        <f>SUM(H5*K15)+(P5*L15)</f>
        <v>6821</v>
      </c>
    </row>
    <row r="6" spans="1:20" x14ac:dyDescent="0.25">
      <c r="A6" s="77" t="s">
        <v>32</v>
      </c>
      <c r="B6" s="77">
        <v>1</v>
      </c>
      <c r="C6" s="99">
        <v>0.22916666666666666</v>
      </c>
      <c r="D6" s="99">
        <v>2.0833333333333332E-2</v>
      </c>
      <c r="E6" s="100">
        <v>19</v>
      </c>
      <c r="F6" s="100">
        <v>60</v>
      </c>
      <c r="G6" s="100">
        <v>60</v>
      </c>
      <c r="H6" s="100">
        <f>E6*I6</f>
        <v>19</v>
      </c>
      <c r="I6" s="77">
        <f>F6/G6</f>
        <v>1</v>
      </c>
      <c r="J6" s="94">
        <v>1</v>
      </c>
      <c r="K6" s="95">
        <v>0.22916666666666666</v>
      </c>
      <c r="L6" s="95">
        <v>2.0833333333333332E-2</v>
      </c>
      <c r="M6" s="96">
        <v>19</v>
      </c>
      <c r="N6" s="96">
        <v>60</v>
      </c>
      <c r="O6" s="96">
        <v>60</v>
      </c>
      <c r="P6" s="96">
        <f>M6*Q6</f>
        <v>19</v>
      </c>
      <c r="Q6" s="94">
        <f>N6/O6</f>
        <v>1</v>
      </c>
      <c r="R6" s="86">
        <f>H6*K15</f>
        <v>4845</v>
      </c>
      <c r="S6" s="86">
        <f>M6*L15</f>
        <v>1976</v>
      </c>
      <c r="T6" s="101">
        <f>SUM(H6*K15)+(P6*L15)</f>
        <v>6821</v>
      </c>
    </row>
    <row r="7" spans="1:20" x14ac:dyDescent="0.25">
      <c r="A7" s="77" t="s">
        <v>33</v>
      </c>
      <c r="B7" s="77">
        <v>1</v>
      </c>
      <c r="C7" s="99">
        <v>0.22916666666666666</v>
      </c>
      <c r="D7" s="99">
        <v>2.0833333333333332E-2</v>
      </c>
      <c r="E7" s="100">
        <v>19</v>
      </c>
      <c r="F7" s="100">
        <v>60</v>
      </c>
      <c r="G7" s="100">
        <v>60</v>
      </c>
      <c r="H7" s="100">
        <f t="shared" ref="H7:H12" si="0">E7*I7</f>
        <v>19</v>
      </c>
      <c r="I7" s="77">
        <f t="shared" ref="I7:I12" si="1">F7/G7</f>
        <v>1</v>
      </c>
      <c r="J7" s="94">
        <v>1</v>
      </c>
      <c r="K7" s="95">
        <v>0.22916666666666666</v>
      </c>
      <c r="L7" s="95">
        <v>2.0833333333333332E-2</v>
      </c>
      <c r="M7" s="96">
        <v>19</v>
      </c>
      <c r="N7" s="96">
        <v>60</v>
      </c>
      <c r="O7" s="96">
        <v>60</v>
      </c>
      <c r="P7" s="96">
        <f t="shared" ref="P7:P12" si="2">M7*Q7</f>
        <v>19</v>
      </c>
      <c r="Q7" s="94">
        <f t="shared" ref="Q7:Q12" si="3">N7/O7</f>
        <v>1</v>
      </c>
      <c r="R7" s="86">
        <f>H7*K15</f>
        <v>4845</v>
      </c>
      <c r="S7" s="86">
        <f>M7*L15</f>
        <v>1976</v>
      </c>
      <c r="T7" s="101">
        <f>SUM(H7*K15)+(P7*L15)</f>
        <v>6821</v>
      </c>
    </row>
    <row r="8" spans="1:20" x14ac:dyDescent="0.25">
      <c r="A8" s="77" t="s">
        <v>34</v>
      </c>
      <c r="B8" s="77">
        <v>1</v>
      </c>
      <c r="C8" s="99">
        <v>0.22916666666666666</v>
      </c>
      <c r="D8" s="99">
        <v>2.0833333333333332E-2</v>
      </c>
      <c r="E8" s="100">
        <v>19</v>
      </c>
      <c r="F8" s="100">
        <v>60</v>
      </c>
      <c r="G8" s="100">
        <v>60</v>
      </c>
      <c r="H8" s="100">
        <f t="shared" si="0"/>
        <v>19</v>
      </c>
      <c r="I8" s="77">
        <f t="shared" si="1"/>
        <v>1</v>
      </c>
      <c r="J8" s="94">
        <v>1</v>
      </c>
      <c r="K8" s="95">
        <v>0.22916666666666666</v>
      </c>
      <c r="L8" s="95">
        <v>2.0833333333333332E-2</v>
      </c>
      <c r="M8" s="96">
        <v>19</v>
      </c>
      <c r="N8" s="96">
        <v>60</v>
      </c>
      <c r="O8" s="96">
        <v>60</v>
      </c>
      <c r="P8" s="96">
        <f t="shared" si="2"/>
        <v>19</v>
      </c>
      <c r="Q8" s="94">
        <f t="shared" si="3"/>
        <v>1</v>
      </c>
      <c r="R8" s="86">
        <f>H8*K15</f>
        <v>4845</v>
      </c>
      <c r="S8" s="86">
        <f>M8*L15</f>
        <v>1976</v>
      </c>
      <c r="T8" s="101">
        <f>SUM(H8*K15)+(P8*L15)</f>
        <v>6821</v>
      </c>
    </row>
    <row r="9" spans="1:20" x14ac:dyDescent="0.25">
      <c r="A9" s="77" t="s">
        <v>35</v>
      </c>
      <c r="B9" s="77">
        <v>1</v>
      </c>
      <c r="C9" s="99">
        <v>0.22916666666666666</v>
      </c>
      <c r="D9" s="99">
        <v>2.0833333333333332E-2</v>
      </c>
      <c r="E9" s="100">
        <v>19</v>
      </c>
      <c r="F9" s="100">
        <v>60</v>
      </c>
      <c r="G9" s="100">
        <v>60</v>
      </c>
      <c r="H9" s="100">
        <f t="shared" si="0"/>
        <v>19</v>
      </c>
      <c r="I9" s="77">
        <f t="shared" si="1"/>
        <v>1</v>
      </c>
      <c r="J9" s="94">
        <v>1</v>
      </c>
      <c r="K9" s="95">
        <v>0.22916666666666666</v>
      </c>
      <c r="L9" s="95">
        <v>2.0833333333333332E-2</v>
      </c>
      <c r="M9" s="96">
        <v>19</v>
      </c>
      <c r="N9" s="96">
        <v>60</v>
      </c>
      <c r="O9" s="96">
        <v>60</v>
      </c>
      <c r="P9" s="96">
        <f t="shared" si="2"/>
        <v>19</v>
      </c>
      <c r="Q9" s="94">
        <f t="shared" si="3"/>
        <v>1</v>
      </c>
      <c r="R9" s="86">
        <f>H9*K15</f>
        <v>4845</v>
      </c>
      <c r="S9" s="86">
        <f>M9*L15</f>
        <v>1976</v>
      </c>
      <c r="T9" s="101">
        <f>SUM(H9*K15)+(P9*L15)</f>
        <v>6821</v>
      </c>
    </row>
    <row r="10" spans="1:20" x14ac:dyDescent="0.25">
      <c r="A10" s="77" t="s">
        <v>36</v>
      </c>
      <c r="B10" s="77">
        <v>1</v>
      </c>
      <c r="C10" s="99">
        <v>0.22916666666666666</v>
      </c>
      <c r="D10" s="99">
        <v>2.0833333333333332E-2</v>
      </c>
      <c r="E10" s="100">
        <v>19</v>
      </c>
      <c r="F10" s="100">
        <v>60</v>
      </c>
      <c r="G10" s="100">
        <v>60</v>
      </c>
      <c r="H10" s="100">
        <f t="shared" si="0"/>
        <v>19</v>
      </c>
      <c r="I10" s="77">
        <f t="shared" si="1"/>
        <v>1</v>
      </c>
      <c r="J10" s="94">
        <v>1</v>
      </c>
      <c r="K10" s="95">
        <v>0.22916666666666666</v>
      </c>
      <c r="L10" s="95">
        <v>2.0833333333333332E-2</v>
      </c>
      <c r="M10" s="96">
        <v>19</v>
      </c>
      <c r="N10" s="96">
        <v>60</v>
      </c>
      <c r="O10" s="96">
        <v>60</v>
      </c>
      <c r="P10" s="96">
        <f t="shared" si="2"/>
        <v>19</v>
      </c>
      <c r="Q10" s="94">
        <f t="shared" si="3"/>
        <v>1</v>
      </c>
      <c r="R10" s="86">
        <f>H10*K15</f>
        <v>4845</v>
      </c>
      <c r="S10" s="86">
        <f>M10*L15</f>
        <v>1976</v>
      </c>
      <c r="T10" s="101">
        <f>SUM(H10*K15)+(P10*L15)</f>
        <v>6821</v>
      </c>
    </row>
    <row r="11" spans="1:20" x14ac:dyDescent="0.25">
      <c r="A11" s="77" t="s">
        <v>37</v>
      </c>
      <c r="B11" s="77">
        <v>1</v>
      </c>
      <c r="C11" s="99">
        <v>0.22916666666666666</v>
      </c>
      <c r="D11" s="99">
        <v>2.0833333333333332E-2</v>
      </c>
      <c r="E11" s="100">
        <v>19</v>
      </c>
      <c r="F11" s="100">
        <v>60</v>
      </c>
      <c r="G11" s="100">
        <v>60</v>
      </c>
      <c r="H11" s="100">
        <f t="shared" si="0"/>
        <v>19</v>
      </c>
      <c r="I11" s="77">
        <f t="shared" si="1"/>
        <v>1</v>
      </c>
      <c r="J11" s="94">
        <v>1</v>
      </c>
      <c r="K11" s="95">
        <v>0.22916666666666666</v>
      </c>
      <c r="L11" s="95">
        <v>2.0833333333333332E-2</v>
      </c>
      <c r="M11" s="96">
        <v>19</v>
      </c>
      <c r="N11" s="96">
        <v>60</v>
      </c>
      <c r="O11" s="96">
        <v>60</v>
      </c>
      <c r="P11" s="96">
        <f t="shared" si="2"/>
        <v>19</v>
      </c>
      <c r="Q11" s="94">
        <f t="shared" si="3"/>
        <v>1</v>
      </c>
      <c r="R11" s="86">
        <f>H11*K15</f>
        <v>4845</v>
      </c>
      <c r="S11" s="86">
        <f>M11*L15</f>
        <v>1976</v>
      </c>
      <c r="T11" s="101">
        <f>SUM(H11*K15)+(P11*L15)</f>
        <v>6821</v>
      </c>
    </row>
    <row r="12" spans="1:20" x14ac:dyDescent="0.25">
      <c r="A12" s="77" t="s">
        <v>45</v>
      </c>
      <c r="B12" s="77">
        <v>1</v>
      </c>
      <c r="C12" s="99">
        <v>0.22916666666666666</v>
      </c>
      <c r="D12" s="99">
        <v>2.0833333333333332E-2</v>
      </c>
      <c r="E12" s="100">
        <v>19</v>
      </c>
      <c r="F12" s="100">
        <v>60</v>
      </c>
      <c r="G12" s="100">
        <v>60</v>
      </c>
      <c r="H12" s="100">
        <f t="shared" si="0"/>
        <v>19</v>
      </c>
      <c r="I12" s="77">
        <f t="shared" si="1"/>
        <v>1</v>
      </c>
      <c r="J12" s="94">
        <v>1</v>
      </c>
      <c r="K12" s="95">
        <v>0.22916666666666666</v>
      </c>
      <c r="L12" s="95">
        <v>2.0833333333333332E-2</v>
      </c>
      <c r="M12" s="96">
        <v>19</v>
      </c>
      <c r="N12" s="96">
        <v>60</v>
      </c>
      <c r="O12" s="96">
        <v>60</v>
      </c>
      <c r="P12" s="96">
        <f t="shared" si="2"/>
        <v>19</v>
      </c>
      <c r="Q12" s="94">
        <f t="shared" si="3"/>
        <v>1</v>
      </c>
      <c r="R12" s="86">
        <f>H12*K15</f>
        <v>4845</v>
      </c>
      <c r="S12" s="86">
        <f>M12*L15</f>
        <v>1976</v>
      </c>
      <c r="T12" s="101">
        <f>SUM(H12*K15)+(P12*L15)</f>
        <v>6821</v>
      </c>
    </row>
    <row r="13" spans="1:20" x14ac:dyDescent="0.25">
      <c r="I13" s="88">
        <f>SUM(I5:I12)</f>
        <v>8</v>
      </c>
      <c r="R13" s="86">
        <f>SUM(R5:R12)</f>
        <v>38760</v>
      </c>
      <c r="S13" s="86">
        <f>SUM(S5:S12)</f>
        <v>15808</v>
      </c>
      <c r="T13" s="102">
        <f>SUM(T5:T12)</f>
        <v>54568</v>
      </c>
    </row>
    <row r="14" spans="1:20" ht="45" x14ac:dyDescent="0.25">
      <c r="K14" s="101" t="s">
        <v>104</v>
      </c>
      <c r="L14" s="101" t="s">
        <v>105</v>
      </c>
    </row>
    <row r="15" spans="1:20" x14ac:dyDescent="0.25">
      <c r="K15" s="101">
        <v>255</v>
      </c>
      <c r="L15" s="101">
        <v>104</v>
      </c>
    </row>
    <row r="17" spans="10:11" x14ac:dyDescent="0.25">
      <c r="J17" s="83" t="s">
        <v>112</v>
      </c>
      <c r="K17" s="103">
        <v>70.02</v>
      </c>
    </row>
    <row r="18" spans="10:11" x14ac:dyDescent="0.25">
      <c r="J18" s="84" t="s">
        <v>109</v>
      </c>
      <c r="K18" s="104">
        <v>71.56</v>
      </c>
    </row>
    <row r="19" spans="10:11" x14ac:dyDescent="0.25">
      <c r="J19" s="84" t="s">
        <v>110</v>
      </c>
      <c r="K19" s="104">
        <v>73.13</v>
      </c>
    </row>
    <row r="20" spans="10:11" x14ac:dyDescent="0.25">
      <c r="J20" s="84" t="s">
        <v>111</v>
      </c>
      <c r="K20" s="104">
        <v>74.739999999999995</v>
      </c>
    </row>
  </sheetData>
  <mergeCells count="2">
    <mergeCell ref="B3:I3"/>
    <mergeCell ref="J3:Q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'O:\2019 CCLRPTPMP Documents\[2019.12.5 Final Comparison of Financials.xlsx]Operations Summary by FY'!#REF!</xm:f>
          </x14:formula1>
          <xm:sqref>A5:A12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0"/>
  <sheetViews>
    <sheetView workbookViewId="0">
      <selection activeCell="A11" sqref="A11"/>
    </sheetView>
  </sheetViews>
  <sheetFormatPr defaultColWidth="11.5703125" defaultRowHeight="15" x14ac:dyDescent="0.25"/>
  <cols>
    <col min="1" max="4" width="11.5703125" style="82"/>
    <col min="5" max="5" width="9.140625" style="82" bestFit="1" customWidth="1"/>
    <col min="6" max="17" width="11.5703125" style="82"/>
    <col min="18" max="19" width="11.5703125" style="89"/>
    <col min="20" max="20" width="15.140625" style="82" bestFit="1" customWidth="1"/>
    <col min="21" max="16384" width="11.5703125" style="82"/>
  </cols>
  <sheetData>
    <row r="3" spans="1:20" ht="14.45" customHeight="1" x14ac:dyDescent="0.25">
      <c r="A3" s="4"/>
      <c r="B3" s="143" t="s">
        <v>94</v>
      </c>
      <c r="C3" s="143"/>
      <c r="D3" s="143"/>
      <c r="E3" s="143"/>
      <c r="F3" s="143"/>
      <c r="G3" s="143"/>
      <c r="H3" s="143"/>
      <c r="I3" s="143"/>
      <c r="J3" s="144" t="s">
        <v>103</v>
      </c>
      <c r="K3" s="144"/>
      <c r="L3" s="144"/>
      <c r="M3" s="144"/>
      <c r="N3" s="144"/>
      <c r="O3" s="144"/>
      <c r="P3" s="144"/>
      <c r="Q3" s="144"/>
      <c r="R3" s="91"/>
      <c r="S3" s="91"/>
    </row>
    <row r="4" spans="1:20" ht="57" customHeight="1" thickBot="1" x14ac:dyDescent="0.3">
      <c r="A4" s="97" t="s">
        <v>73</v>
      </c>
      <c r="B4" s="98" t="s">
        <v>100</v>
      </c>
      <c r="C4" s="97" t="s">
        <v>95</v>
      </c>
      <c r="D4" s="97" t="s">
        <v>96</v>
      </c>
      <c r="E4" s="97" t="s">
        <v>101</v>
      </c>
      <c r="F4" s="97" t="s">
        <v>97</v>
      </c>
      <c r="G4" s="97" t="s">
        <v>98</v>
      </c>
      <c r="H4" s="97" t="s">
        <v>99</v>
      </c>
      <c r="I4" s="97" t="s">
        <v>102</v>
      </c>
      <c r="J4" s="92" t="s">
        <v>100</v>
      </c>
      <c r="K4" s="93" t="s">
        <v>95</v>
      </c>
      <c r="L4" s="93" t="s">
        <v>96</v>
      </c>
      <c r="M4" s="93" t="s">
        <v>101</v>
      </c>
      <c r="N4" s="93" t="s">
        <v>97</v>
      </c>
      <c r="O4" s="93" t="s">
        <v>98</v>
      </c>
      <c r="P4" s="93" t="s">
        <v>99</v>
      </c>
      <c r="Q4" s="93" t="s">
        <v>102</v>
      </c>
      <c r="R4" s="90" t="s">
        <v>107</v>
      </c>
      <c r="S4" s="90" t="s">
        <v>108</v>
      </c>
      <c r="T4" s="90" t="s">
        <v>106</v>
      </c>
    </row>
    <row r="5" spans="1:20" ht="15.75" thickTop="1" x14ac:dyDescent="0.25">
      <c r="A5" s="77" t="s">
        <v>31</v>
      </c>
      <c r="B5" s="77">
        <v>1</v>
      </c>
      <c r="C5" s="99">
        <v>0.22916666666666666</v>
      </c>
      <c r="D5" s="99">
        <v>2.0833333333333332E-2</v>
      </c>
      <c r="E5" s="100">
        <v>19</v>
      </c>
      <c r="F5" s="100">
        <v>60</v>
      </c>
      <c r="G5" s="100">
        <v>30</v>
      </c>
      <c r="H5" s="100">
        <f>E5*I5</f>
        <v>38</v>
      </c>
      <c r="I5" s="77">
        <f>F5/G5</f>
        <v>2</v>
      </c>
      <c r="J5" s="94">
        <v>1</v>
      </c>
      <c r="K5" s="95">
        <v>0.22916666666666666</v>
      </c>
      <c r="L5" s="95">
        <v>2.0833333333333332E-2</v>
      </c>
      <c r="M5" s="96">
        <v>19</v>
      </c>
      <c r="N5" s="96">
        <v>60</v>
      </c>
      <c r="O5" s="96">
        <v>60</v>
      </c>
      <c r="P5" s="96">
        <f>M5*Q5</f>
        <v>19</v>
      </c>
      <c r="Q5" s="94">
        <f>N5/O5</f>
        <v>1</v>
      </c>
      <c r="R5" s="86">
        <f>H5*K15</f>
        <v>9690</v>
      </c>
      <c r="S5" s="86">
        <f>P5*L15</f>
        <v>1976</v>
      </c>
      <c r="T5" s="101">
        <f>SUM(H5*K15)+(P5*L15)</f>
        <v>11666</v>
      </c>
    </row>
    <row r="6" spans="1:20" x14ac:dyDescent="0.25">
      <c r="A6" s="77" t="s">
        <v>32</v>
      </c>
      <c r="B6" s="77">
        <v>1</v>
      </c>
      <c r="C6" s="99">
        <v>0.22916666666666666</v>
      </c>
      <c r="D6" s="99">
        <v>2.0833333333333332E-2</v>
      </c>
      <c r="E6" s="100">
        <v>19</v>
      </c>
      <c r="F6" s="100">
        <v>60</v>
      </c>
      <c r="G6" s="100">
        <v>30</v>
      </c>
      <c r="H6" s="100">
        <f>E6*I6</f>
        <v>38</v>
      </c>
      <c r="I6" s="77">
        <f>F6/G6</f>
        <v>2</v>
      </c>
      <c r="J6" s="94">
        <v>1</v>
      </c>
      <c r="K6" s="95">
        <v>0.22916666666666666</v>
      </c>
      <c r="L6" s="95">
        <v>2.0833333333333332E-2</v>
      </c>
      <c r="M6" s="96">
        <v>19</v>
      </c>
      <c r="N6" s="96">
        <v>60</v>
      </c>
      <c r="O6" s="96">
        <v>60</v>
      </c>
      <c r="P6" s="96">
        <f>M6*Q6</f>
        <v>19</v>
      </c>
      <c r="Q6" s="94">
        <f>N6/O6</f>
        <v>1</v>
      </c>
      <c r="R6" s="86">
        <f>H6*K15</f>
        <v>9690</v>
      </c>
      <c r="S6" s="86">
        <f>P6*L15</f>
        <v>1976</v>
      </c>
      <c r="T6" s="101">
        <f>SUM(H6*K15)+(P6*L15)</f>
        <v>11666</v>
      </c>
    </row>
    <row r="7" spans="1:20" x14ac:dyDescent="0.25">
      <c r="A7" s="77" t="s">
        <v>33</v>
      </c>
      <c r="B7" s="77">
        <v>1</v>
      </c>
      <c r="C7" s="99">
        <v>0.22916666666666666</v>
      </c>
      <c r="D7" s="99">
        <v>2.0833333333333332E-2</v>
      </c>
      <c r="E7" s="100">
        <v>19</v>
      </c>
      <c r="F7" s="100">
        <v>60</v>
      </c>
      <c r="G7" s="100">
        <v>30</v>
      </c>
      <c r="H7" s="100">
        <f t="shared" ref="H7:H12" si="0">E7*I7</f>
        <v>38</v>
      </c>
      <c r="I7" s="77">
        <f t="shared" ref="I7:I12" si="1">F7/G7</f>
        <v>2</v>
      </c>
      <c r="J7" s="94">
        <v>1</v>
      </c>
      <c r="K7" s="95">
        <v>0.22916666666666666</v>
      </c>
      <c r="L7" s="95">
        <v>2.0833333333333332E-2</v>
      </c>
      <c r="M7" s="96">
        <v>19</v>
      </c>
      <c r="N7" s="96">
        <v>60</v>
      </c>
      <c r="O7" s="96">
        <v>60</v>
      </c>
      <c r="P7" s="96">
        <f t="shared" ref="P7:P12" si="2">M7*Q7</f>
        <v>19</v>
      </c>
      <c r="Q7" s="94">
        <f t="shared" ref="Q7:Q12" si="3">N7/O7</f>
        <v>1</v>
      </c>
      <c r="R7" s="86">
        <f>H7*K15</f>
        <v>9690</v>
      </c>
      <c r="S7" s="86">
        <f>P7*L15</f>
        <v>1976</v>
      </c>
      <c r="T7" s="101">
        <f>SUM(H7*K15)+(P7*L15)</f>
        <v>11666</v>
      </c>
    </row>
    <row r="8" spans="1:20" x14ac:dyDescent="0.25">
      <c r="A8" s="77" t="s">
        <v>34</v>
      </c>
      <c r="B8" s="77">
        <v>1</v>
      </c>
      <c r="C8" s="99">
        <v>0.22916666666666666</v>
      </c>
      <c r="D8" s="99">
        <v>2.0833333333333332E-2</v>
      </c>
      <c r="E8" s="100">
        <v>19</v>
      </c>
      <c r="F8" s="100">
        <v>60</v>
      </c>
      <c r="G8" s="100">
        <v>30</v>
      </c>
      <c r="H8" s="100">
        <f t="shared" si="0"/>
        <v>38</v>
      </c>
      <c r="I8" s="77">
        <f t="shared" si="1"/>
        <v>2</v>
      </c>
      <c r="J8" s="94">
        <v>1</v>
      </c>
      <c r="K8" s="95">
        <v>0.22916666666666666</v>
      </c>
      <c r="L8" s="95">
        <v>2.0833333333333332E-2</v>
      </c>
      <c r="M8" s="96">
        <v>19</v>
      </c>
      <c r="N8" s="96">
        <v>60</v>
      </c>
      <c r="O8" s="96">
        <v>60</v>
      </c>
      <c r="P8" s="96">
        <f t="shared" si="2"/>
        <v>19</v>
      </c>
      <c r="Q8" s="94">
        <f t="shared" si="3"/>
        <v>1</v>
      </c>
      <c r="R8" s="86">
        <f>H8*K15</f>
        <v>9690</v>
      </c>
      <c r="S8" s="86">
        <f>P8*L15</f>
        <v>1976</v>
      </c>
      <c r="T8" s="101">
        <f>SUM(H8*K15)+(P8*L15)</f>
        <v>11666</v>
      </c>
    </row>
    <row r="9" spans="1:20" x14ac:dyDescent="0.25">
      <c r="A9" s="77" t="s">
        <v>35</v>
      </c>
      <c r="B9" s="77">
        <v>1</v>
      </c>
      <c r="C9" s="99">
        <v>0.22916666666666666</v>
      </c>
      <c r="D9" s="99">
        <v>2.0833333333333332E-2</v>
      </c>
      <c r="E9" s="100">
        <v>19</v>
      </c>
      <c r="F9" s="100">
        <v>60</v>
      </c>
      <c r="G9" s="100">
        <v>30</v>
      </c>
      <c r="H9" s="100">
        <f t="shared" si="0"/>
        <v>38</v>
      </c>
      <c r="I9" s="77">
        <f t="shared" si="1"/>
        <v>2</v>
      </c>
      <c r="J9" s="94">
        <v>1</v>
      </c>
      <c r="K9" s="95">
        <v>0.22916666666666666</v>
      </c>
      <c r="L9" s="95">
        <v>2.0833333333333332E-2</v>
      </c>
      <c r="M9" s="96">
        <v>19</v>
      </c>
      <c r="N9" s="96">
        <v>60</v>
      </c>
      <c r="O9" s="96">
        <v>60</v>
      </c>
      <c r="P9" s="96">
        <f t="shared" si="2"/>
        <v>19</v>
      </c>
      <c r="Q9" s="94">
        <f t="shared" si="3"/>
        <v>1</v>
      </c>
      <c r="R9" s="86">
        <f>H9*K15</f>
        <v>9690</v>
      </c>
      <c r="S9" s="86">
        <f>P9*L15</f>
        <v>1976</v>
      </c>
      <c r="T9" s="101">
        <f>SUM(H9*K15)+(P9*L15)</f>
        <v>11666</v>
      </c>
    </row>
    <row r="10" spans="1:20" x14ac:dyDescent="0.25">
      <c r="A10" s="77" t="s">
        <v>36</v>
      </c>
      <c r="B10" s="77">
        <v>1</v>
      </c>
      <c r="C10" s="99">
        <v>0.22916666666666666</v>
      </c>
      <c r="D10" s="99">
        <v>2.0833333333333332E-2</v>
      </c>
      <c r="E10" s="100">
        <v>19</v>
      </c>
      <c r="F10" s="100">
        <v>60</v>
      </c>
      <c r="G10" s="100">
        <v>30</v>
      </c>
      <c r="H10" s="100">
        <f t="shared" si="0"/>
        <v>38</v>
      </c>
      <c r="I10" s="77">
        <f t="shared" si="1"/>
        <v>2</v>
      </c>
      <c r="J10" s="94">
        <v>1</v>
      </c>
      <c r="K10" s="95">
        <v>0.22916666666666666</v>
      </c>
      <c r="L10" s="95">
        <v>2.0833333333333332E-2</v>
      </c>
      <c r="M10" s="96">
        <v>19</v>
      </c>
      <c r="N10" s="96">
        <v>60</v>
      </c>
      <c r="O10" s="96">
        <v>60</v>
      </c>
      <c r="P10" s="96">
        <f t="shared" si="2"/>
        <v>19</v>
      </c>
      <c r="Q10" s="94">
        <f t="shared" si="3"/>
        <v>1</v>
      </c>
      <c r="R10" s="86">
        <f>H10*K15</f>
        <v>9690</v>
      </c>
      <c r="S10" s="86">
        <f>P10*L15</f>
        <v>1976</v>
      </c>
      <c r="T10" s="101">
        <f>SUM(H10*K15)+(P10*L15)</f>
        <v>11666</v>
      </c>
    </row>
    <row r="11" spans="1:20" x14ac:dyDescent="0.25">
      <c r="A11" s="77" t="s">
        <v>37</v>
      </c>
      <c r="B11" s="77">
        <v>1</v>
      </c>
      <c r="C11" s="99">
        <v>0.22916666666666666</v>
      </c>
      <c r="D11" s="99">
        <v>2.0833333333333332E-2</v>
      </c>
      <c r="E11" s="100">
        <v>19</v>
      </c>
      <c r="F11" s="100">
        <v>60</v>
      </c>
      <c r="G11" s="100">
        <v>30</v>
      </c>
      <c r="H11" s="100">
        <f t="shared" si="0"/>
        <v>38</v>
      </c>
      <c r="I11" s="77">
        <f t="shared" si="1"/>
        <v>2</v>
      </c>
      <c r="J11" s="94">
        <v>1</v>
      </c>
      <c r="K11" s="95">
        <v>0.22916666666666666</v>
      </c>
      <c r="L11" s="95">
        <v>2.0833333333333332E-2</v>
      </c>
      <c r="M11" s="96">
        <v>19</v>
      </c>
      <c r="N11" s="96">
        <v>60</v>
      </c>
      <c r="O11" s="96">
        <v>60</v>
      </c>
      <c r="P11" s="96">
        <f t="shared" si="2"/>
        <v>19</v>
      </c>
      <c r="Q11" s="94">
        <f t="shared" si="3"/>
        <v>1</v>
      </c>
      <c r="R11" s="86">
        <f>H11*K15</f>
        <v>9690</v>
      </c>
      <c r="S11" s="86">
        <f>P11*L15</f>
        <v>1976</v>
      </c>
      <c r="T11" s="101">
        <f>SUM(H11*K15)+(P11*L15)</f>
        <v>11666</v>
      </c>
    </row>
    <row r="12" spans="1:20" x14ac:dyDescent="0.25">
      <c r="A12" s="77" t="s">
        <v>45</v>
      </c>
      <c r="B12" s="77">
        <v>1</v>
      </c>
      <c r="C12" s="99">
        <v>0.22916666666666666</v>
      </c>
      <c r="D12" s="99">
        <v>2.0833333333333332E-2</v>
      </c>
      <c r="E12" s="100">
        <v>19</v>
      </c>
      <c r="F12" s="100">
        <v>60</v>
      </c>
      <c r="G12" s="100">
        <v>30</v>
      </c>
      <c r="H12" s="100">
        <f t="shared" si="0"/>
        <v>38</v>
      </c>
      <c r="I12" s="77">
        <f t="shared" si="1"/>
        <v>2</v>
      </c>
      <c r="J12" s="94">
        <v>1</v>
      </c>
      <c r="K12" s="95">
        <v>0.22916666666666666</v>
      </c>
      <c r="L12" s="95">
        <v>2.0833333333333332E-2</v>
      </c>
      <c r="M12" s="96">
        <v>19</v>
      </c>
      <c r="N12" s="96">
        <v>60</v>
      </c>
      <c r="O12" s="96">
        <v>60</v>
      </c>
      <c r="P12" s="96">
        <f t="shared" si="2"/>
        <v>19</v>
      </c>
      <c r="Q12" s="94">
        <f t="shared" si="3"/>
        <v>1</v>
      </c>
      <c r="R12" s="86">
        <f>H12*K15</f>
        <v>9690</v>
      </c>
      <c r="S12" s="86">
        <f>P12*L15</f>
        <v>1976</v>
      </c>
      <c r="T12" s="101">
        <f>SUM(H12*K15)+(P12*L15)</f>
        <v>11666</v>
      </c>
    </row>
    <row r="13" spans="1:20" x14ac:dyDescent="0.25">
      <c r="I13" s="88">
        <f>SUM(I5:I12)</f>
        <v>16</v>
      </c>
      <c r="R13" s="86">
        <f>SUM(R5:R12)</f>
        <v>77520</v>
      </c>
      <c r="S13" s="86">
        <f>SUM(S5:S12)</f>
        <v>15808</v>
      </c>
      <c r="T13" s="102">
        <f>SUM(T5:T12)</f>
        <v>93328</v>
      </c>
    </row>
    <row r="14" spans="1:20" ht="45" x14ac:dyDescent="0.25">
      <c r="K14" s="101" t="s">
        <v>104</v>
      </c>
      <c r="L14" s="101" t="s">
        <v>105</v>
      </c>
    </row>
    <row r="15" spans="1:20" x14ac:dyDescent="0.25">
      <c r="K15" s="101">
        <v>255</v>
      </c>
      <c r="L15" s="101">
        <v>104</v>
      </c>
    </row>
    <row r="17" spans="10:11" x14ac:dyDescent="0.25">
      <c r="J17" s="83" t="s">
        <v>115</v>
      </c>
      <c r="K17" s="103">
        <v>74.739999999999995</v>
      </c>
    </row>
    <row r="18" spans="10:11" x14ac:dyDescent="0.25">
      <c r="J18" s="84" t="s">
        <v>116</v>
      </c>
      <c r="K18" s="103">
        <v>76.38</v>
      </c>
    </row>
    <row r="19" spans="10:11" x14ac:dyDescent="0.25">
      <c r="J19" s="84" t="s">
        <v>113</v>
      </c>
      <c r="K19" s="103">
        <v>78.06</v>
      </c>
    </row>
    <row r="20" spans="10:11" x14ac:dyDescent="0.25">
      <c r="J20" s="84" t="s">
        <v>114</v>
      </c>
      <c r="K20" s="103">
        <v>79.78</v>
      </c>
    </row>
  </sheetData>
  <mergeCells count="2">
    <mergeCell ref="B3:I3"/>
    <mergeCell ref="J3:Q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'O:\2019 CCLRPTPMP Documents\[2019.12.5 Final Comparison of Financials.xlsx]Operations Summary by FY'!#REF!</xm:f>
          </x14:formula1>
          <xm:sqref>A5:A12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8"/>
  <sheetViews>
    <sheetView topLeftCell="A7" workbookViewId="0">
      <selection activeCell="T5" sqref="T5:T20"/>
    </sheetView>
  </sheetViews>
  <sheetFormatPr defaultColWidth="11.5703125" defaultRowHeight="15" x14ac:dyDescent="0.25"/>
  <cols>
    <col min="1" max="1" width="20.85546875" style="82" bestFit="1" customWidth="1"/>
    <col min="2" max="4" width="11.5703125" style="82"/>
    <col min="5" max="5" width="9.140625" style="82" bestFit="1" customWidth="1"/>
    <col min="6" max="17" width="11.5703125" style="82"/>
    <col min="18" max="19" width="11.5703125" style="89"/>
    <col min="20" max="20" width="15.140625" style="82" bestFit="1" customWidth="1"/>
    <col min="21" max="16384" width="11.5703125" style="82"/>
  </cols>
  <sheetData>
    <row r="3" spans="1:20" ht="14.45" customHeight="1" x14ac:dyDescent="0.25">
      <c r="A3" s="4"/>
      <c r="B3" s="143" t="s">
        <v>94</v>
      </c>
      <c r="C3" s="143"/>
      <c r="D3" s="143"/>
      <c r="E3" s="143"/>
      <c r="F3" s="143"/>
      <c r="G3" s="143"/>
      <c r="H3" s="143"/>
      <c r="I3" s="143"/>
      <c r="J3" s="144" t="s">
        <v>103</v>
      </c>
      <c r="K3" s="144"/>
      <c r="L3" s="144"/>
      <c r="M3" s="144"/>
      <c r="N3" s="144"/>
      <c r="O3" s="144"/>
      <c r="P3" s="144"/>
      <c r="Q3" s="144"/>
      <c r="R3" s="91"/>
      <c r="S3" s="91"/>
    </row>
    <row r="4" spans="1:20" ht="57" customHeight="1" thickBot="1" x14ac:dyDescent="0.3">
      <c r="A4" s="97" t="s">
        <v>73</v>
      </c>
      <c r="B4" s="98" t="s">
        <v>100</v>
      </c>
      <c r="C4" s="97" t="s">
        <v>95</v>
      </c>
      <c r="D4" s="97" t="s">
        <v>96</v>
      </c>
      <c r="E4" s="97" t="s">
        <v>101</v>
      </c>
      <c r="F4" s="97" t="s">
        <v>97</v>
      </c>
      <c r="G4" s="97" t="s">
        <v>98</v>
      </c>
      <c r="H4" s="97" t="s">
        <v>99</v>
      </c>
      <c r="I4" s="97" t="s">
        <v>102</v>
      </c>
      <c r="J4" s="92" t="s">
        <v>100</v>
      </c>
      <c r="K4" s="93" t="s">
        <v>95</v>
      </c>
      <c r="L4" s="93" t="s">
        <v>96</v>
      </c>
      <c r="M4" s="93" t="s">
        <v>101</v>
      </c>
      <c r="N4" s="93" t="s">
        <v>97</v>
      </c>
      <c r="O4" s="93" t="s">
        <v>98</v>
      </c>
      <c r="P4" s="93" t="s">
        <v>99</v>
      </c>
      <c r="Q4" s="93" t="s">
        <v>102</v>
      </c>
      <c r="R4" s="90" t="s">
        <v>107</v>
      </c>
      <c r="S4" s="90" t="s">
        <v>108</v>
      </c>
      <c r="T4" s="90" t="s">
        <v>106</v>
      </c>
    </row>
    <row r="5" spans="1:20" ht="15.75" thickTop="1" x14ac:dyDescent="0.25">
      <c r="A5" s="77" t="s">
        <v>31</v>
      </c>
      <c r="B5" s="77">
        <v>1</v>
      </c>
      <c r="C5" s="99">
        <v>0.22916666666666666</v>
      </c>
      <c r="D5" s="99">
        <v>2.0833333333333332E-2</v>
      </c>
      <c r="E5" s="100">
        <v>19</v>
      </c>
      <c r="F5" s="100">
        <v>60</v>
      </c>
      <c r="G5" s="100">
        <v>30</v>
      </c>
      <c r="H5" s="100">
        <f>E5*I5</f>
        <v>38</v>
      </c>
      <c r="I5" s="77">
        <f>F5/G5</f>
        <v>2</v>
      </c>
      <c r="J5" s="94">
        <v>1</v>
      </c>
      <c r="K5" s="95">
        <v>0.22916666666666666</v>
      </c>
      <c r="L5" s="95">
        <v>2.0833333333333332E-2</v>
      </c>
      <c r="M5" s="96">
        <v>19</v>
      </c>
      <c r="N5" s="96">
        <v>60</v>
      </c>
      <c r="O5" s="96">
        <v>60</v>
      </c>
      <c r="P5" s="96">
        <f>M5*Q5</f>
        <v>19</v>
      </c>
      <c r="Q5" s="94">
        <f>N5/O5</f>
        <v>1</v>
      </c>
      <c r="R5" s="86">
        <f>H5*K23</f>
        <v>9690</v>
      </c>
      <c r="S5" s="86">
        <f>P5*L23</f>
        <v>1976</v>
      </c>
      <c r="T5" s="101">
        <f>SUM(H5*K23)+(P5*L23)</f>
        <v>11666</v>
      </c>
    </row>
    <row r="6" spans="1:20" x14ac:dyDescent="0.25">
      <c r="A6" s="77" t="s">
        <v>32</v>
      </c>
      <c r="B6" s="77">
        <v>1</v>
      </c>
      <c r="C6" s="99">
        <v>0.22916666666666666</v>
      </c>
      <c r="D6" s="99">
        <v>2.0833333333333332E-2</v>
      </c>
      <c r="E6" s="100">
        <v>19</v>
      </c>
      <c r="F6" s="100">
        <v>60</v>
      </c>
      <c r="G6" s="100">
        <v>30</v>
      </c>
      <c r="H6" s="100">
        <f>E6*I6</f>
        <v>38</v>
      </c>
      <c r="I6" s="77">
        <f>F6/G6</f>
        <v>2</v>
      </c>
      <c r="J6" s="94">
        <v>1</v>
      </c>
      <c r="K6" s="95">
        <v>0.22916666666666666</v>
      </c>
      <c r="L6" s="95">
        <v>2.0833333333333332E-2</v>
      </c>
      <c r="M6" s="96">
        <v>19</v>
      </c>
      <c r="N6" s="96">
        <v>60</v>
      </c>
      <c r="O6" s="96">
        <v>60</v>
      </c>
      <c r="P6" s="96">
        <f>M6*Q6</f>
        <v>19</v>
      </c>
      <c r="Q6" s="94">
        <f>N6/O6</f>
        <v>1</v>
      </c>
      <c r="R6" s="86">
        <f>H6*K23</f>
        <v>9690</v>
      </c>
      <c r="S6" s="86">
        <f>P6*L23</f>
        <v>1976</v>
      </c>
      <c r="T6" s="101">
        <f>SUM(H6*K23)+(P6*L23)</f>
        <v>11666</v>
      </c>
    </row>
    <row r="7" spans="1:20" x14ac:dyDescent="0.25">
      <c r="A7" s="77" t="s">
        <v>33</v>
      </c>
      <c r="B7" s="77">
        <v>1</v>
      </c>
      <c r="C7" s="99">
        <v>0.22916666666666666</v>
      </c>
      <c r="D7" s="99">
        <v>2.0833333333333332E-2</v>
      </c>
      <c r="E7" s="100">
        <v>19</v>
      </c>
      <c r="F7" s="100">
        <v>60</v>
      </c>
      <c r="G7" s="100">
        <v>30</v>
      </c>
      <c r="H7" s="100">
        <f t="shared" ref="H7:H10" si="0">E7*I7</f>
        <v>38</v>
      </c>
      <c r="I7" s="77">
        <f t="shared" ref="I7:I20" si="1">F7/G7</f>
        <v>2</v>
      </c>
      <c r="J7" s="94">
        <v>1</v>
      </c>
      <c r="K7" s="95">
        <v>0.22916666666666666</v>
      </c>
      <c r="L7" s="95">
        <v>2.0833333333333332E-2</v>
      </c>
      <c r="M7" s="96">
        <v>19</v>
      </c>
      <c r="N7" s="96">
        <v>60</v>
      </c>
      <c r="O7" s="96">
        <v>60</v>
      </c>
      <c r="P7" s="96">
        <f t="shared" ref="P7:P12" si="2">M7*Q7</f>
        <v>19</v>
      </c>
      <c r="Q7" s="94">
        <f t="shared" ref="Q7:Q12" si="3">N7/O7</f>
        <v>1</v>
      </c>
      <c r="R7" s="86">
        <f>H7*K23</f>
        <v>9690</v>
      </c>
      <c r="S7" s="86">
        <f>P7*L23</f>
        <v>1976</v>
      </c>
      <c r="T7" s="101">
        <f>SUM(H7*K23)+(P7*L23)</f>
        <v>11666</v>
      </c>
    </row>
    <row r="8" spans="1:20" x14ac:dyDescent="0.25">
      <c r="A8" s="77" t="s">
        <v>34</v>
      </c>
      <c r="B8" s="77">
        <v>1</v>
      </c>
      <c r="C8" s="99">
        <v>0.22916666666666666</v>
      </c>
      <c r="D8" s="99">
        <v>2.0833333333333332E-2</v>
      </c>
      <c r="E8" s="100">
        <v>19</v>
      </c>
      <c r="F8" s="100">
        <v>60</v>
      </c>
      <c r="G8" s="100">
        <v>30</v>
      </c>
      <c r="H8" s="100">
        <f t="shared" si="0"/>
        <v>38</v>
      </c>
      <c r="I8" s="77">
        <f t="shared" si="1"/>
        <v>2</v>
      </c>
      <c r="J8" s="94">
        <v>1</v>
      </c>
      <c r="K8" s="95">
        <v>0.22916666666666666</v>
      </c>
      <c r="L8" s="95">
        <v>2.0833333333333332E-2</v>
      </c>
      <c r="M8" s="96">
        <v>19</v>
      </c>
      <c r="N8" s="96">
        <v>60</v>
      </c>
      <c r="O8" s="96">
        <v>60</v>
      </c>
      <c r="P8" s="96">
        <f t="shared" si="2"/>
        <v>19</v>
      </c>
      <c r="Q8" s="94">
        <f t="shared" si="3"/>
        <v>1</v>
      </c>
      <c r="R8" s="86">
        <f>H8*K23</f>
        <v>9690</v>
      </c>
      <c r="S8" s="86">
        <f>P8*L23</f>
        <v>1976</v>
      </c>
      <c r="T8" s="101">
        <f>SUM(H8*K23)+(P8*L23)</f>
        <v>11666</v>
      </c>
    </row>
    <row r="9" spans="1:20" x14ac:dyDescent="0.25">
      <c r="A9" s="77" t="s">
        <v>35</v>
      </c>
      <c r="B9" s="77">
        <v>1</v>
      </c>
      <c r="C9" s="99">
        <v>0.22916666666666666</v>
      </c>
      <c r="D9" s="99">
        <v>2.0833333333333332E-2</v>
      </c>
      <c r="E9" s="100">
        <v>19</v>
      </c>
      <c r="F9" s="100">
        <v>60</v>
      </c>
      <c r="G9" s="100">
        <v>30</v>
      </c>
      <c r="H9" s="100">
        <f t="shared" si="0"/>
        <v>38</v>
      </c>
      <c r="I9" s="77">
        <f t="shared" si="1"/>
        <v>2</v>
      </c>
      <c r="J9" s="94">
        <v>1</v>
      </c>
      <c r="K9" s="95">
        <v>0.22916666666666666</v>
      </c>
      <c r="L9" s="95">
        <v>2.0833333333333332E-2</v>
      </c>
      <c r="M9" s="96">
        <v>19</v>
      </c>
      <c r="N9" s="96">
        <v>60</v>
      </c>
      <c r="O9" s="96">
        <v>60</v>
      </c>
      <c r="P9" s="96">
        <f t="shared" si="2"/>
        <v>19</v>
      </c>
      <c r="Q9" s="94">
        <f t="shared" si="3"/>
        <v>1</v>
      </c>
      <c r="R9" s="86">
        <f>H9*K23</f>
        <v>9690</v>
      </c>
      <c r="S9" s="86">
        <f>P9*L23</f>
        <v>1976</v>
      </c>
      <c r="T9" s="101">
        <f>SUM(H9*K23)+(P9*L23)</f>
        <v>11666</v>
      </c>
    </row>
    <row r="10" spans="1:20" x14ac:dyDescent="0.25">
      <c r="A10" s="77" t="s">
        <v>36</v>
      </c>
      <c r="B10" s="77">
        <v>1</v>
      </c>
      <c r="C10" s="99">
        <v>0.22916666666666666</v>
      </c>
      <c r="D10" s="99">
        <v>2.0833333333333332E-2</v>
      </c>
      <c r="E10" s="100">
        <v>19</v>
      </c>
      <c r="F10" s="100">
        <v>60</v>
      </c>
      <c r="G10" s="100">
        <v>30</v>
      </c>
      <c r="H10" s="100">
        <f t="shared" si="0"/>
        <v>38</v>
      </c>
      <c r="I10" s="77">
        <f t="shared" si="1"/>
        <v>2</v>
      </c>
      <c r="J10" s="94">
        <v>1</v>
      </c>
      <c r="K10" s="95">
        <v>0.22916666666666666</v>
      </c>
      <c r="L10" s="95">
        <v>2.0833333333333332E-2</v>
      </c>
      <c r="M10" s="96">
        <v>19</v>
      </c>
      <c r="N10" s="96">
        <v>60</v>
      </c>
      <c r="O10" s="96">
        <v>60</v>
      </c>
      <c r="P10" s="96">
        <f t="shared" si="2"/>
        <v>19</v>
      </c>
      <c r="Q10" s="94">
        <f t="shared" si="3"/>
        <v>1</v>
      </c>
      <c r="R10" s="86">
        <f>H10*K23</f>
        <v>9690</v>
      </c>
      <c r="S10" s="86">
        <f>P10*L23</f>
        <v>1976</v>
      </c>
      <c r="T10" s="101">
        <f>SUM(H10*K23)+(P10*L23)</f>
        <v>11666</v>
      </c>
    </row>
    <row r="11" spans="1:20" x14ac:dyDescent="0.25">
      <c r="A11" s="77" t="s">
        <v>37</v>
      </c>
      <c r="B11" s="77">
        <v>1</v>
      </c>
      <c r="C11" s="99">
        <v>0.22916666666666666</v>
      </c>
      <c r="D11" s="99">
        <v>2.0833333333333332E-2</v>
      </c>
      <c r="E11" s="100">
        <v>19</v>
      </c>
      <c r="F11" s="100">
        <v>60</v>
      </c>
      <c r="G11" s="100">
        <v>30</v>
      </c>
      <c r="H11" s="100">
        <f>E11*I11</f>
        <v>38</v>
      </c>
      <c r="I11" s="77">
        <f t="shared" si="1"/>
        <v>2</v>
      </c>
      <c r="J11" s="94">
        <v>1</v>
      </c>
      <c r="K11" s="95">
        <v>0.22916666666666666</v>
      </c>
      <c r="L11" s="95">
        <v>2.0833333333333332E-2</v>
      </c>
      <c r="M11" s="96">
        <v>19</v>
      </c>
      <c r="N11" s="96">
        <v>60</v>
      </c>
      <c r="O11" s="96">
        <v>60</v>
      </c>
      <c r="P11" s="96">
        <f t="shared" si="2"/>
        <v>19</v>
      </c>
      <c r="Q11" s="94">
        <f t="shared" si="3"/>
        <v>1</v>
      </c>
      <c r="R11" s="86">
        <f>H11*K23</f>
        <v>9690</v>
      </c>
      <c r="S11" s="86">
        <f>P11*L23</f>
        <v>1976</v>
      </c>
      <c r="T11" s="101">
        <f>SUM(H11*K23)+(P11*L23)</f>
        <v>11666</v>
      </c>
    </row>
    <row r="12" spans="1:20" x14ac:dyDescent="0.25">
      <c r="A12" s="77" t="s">
        <v>45</v>
      </c>
      <c r="B12" s="77">
        <v>1</v>
      </c>
      <c r="C12" s="99">
        <v>0.22916666666666666</v>
      </c>
      <c r="D12" s="99">
        <v>2.0833333333333332E-2</v>
      </c>
      <c r="E12" s="100">
        <v>19</v>
      </c>
      <c r="F12" s="100">
        <v>60</v>
      </c>
      <c r="G12" s="100">
        <v>30</v>
      </c>
      <c r="H12" s="100">
        <f>E12*I12</f>
        <v>38</v>
      </c>
      <c r="I12" s="77">
        <f t="shared" si="1"/>
        <v>2</v>
      </c>
      <c r="J12" s="94">
        <v>1</v>
      </c>
      <c r="K12" s="95">
        <v>0.22916666666666666</v>
      </c>
      <c r="L12" s="95">
        <v>2.0833333333333332E-2</v>
      </c>
      <c r="M12" s="96">
        <v>19</v>
      </c>
      <c r="N12" s="96">
        <v>60</v>
      </c>
      <c r="O12" s="96">
        <v>60</v>
      </c>
      <c r="P12" s="96">
        <f t="shared" si="2"/>
        <v>19</v>
      </c>
      <c r="Q12" s="94">
        <f t="shared" si="3"/>
        <v>1</v>
      </c>
      <c r="R12" s="86">
        <f>H12*K23</f>
        <v>9690</v>
      </c>
      <c r="S12" s="86">
        <f>P12*L23</f>
        <v>1976</v>
      </c>
      <c r="T12" s="101">
        <f>SUM(H12*K23)+(P12*L23)</f>
        <v>11666</v>
      </c>
    </row>
    <row r="13" spans="1:20" x14ac:dyDescent="0.25">
      <c r="A13" s="77" t="s">
        <v>38</v>
      </c>
      <c r="B13" s="77">
        <v>7</v>
      </c>
      <c r="C13" s="99">
        <v>0.22916666666666666</v>
      </c>
      <c r="D13" s="99">
        <v>2.0833333333333332E-2</v>
      </c>
      <c r="E13" s="100">
        <v>19</v>
      </c>
      <c r="F13" s="100">
        <v>120</v>
      </c>
      <c r="G13" s="100">
        <v>30</v>
      </c>
      <c r="H13" s="100">
        <f t="shared" ref="H13:H20" si="4">E13*I13</f>
        <v>76</v>
      </c>
      <c r="I13" s="88">
        <f t="shared" si="1"/>
        <v>4</v>
      </c>
      <c r="J13" s="94">
        <v>7</v>
      </c>
      <c r="K13" s="95">
        <v>0.22916666666666666</v>
      </c>
      <c r="L13" s="95">
        <v>2.0833333333333332E-2</v>
      </c>
      <c r="M13" s="96">
        <v>19</v>
      </c>
      <c r="N13" s="96">
        <v>120</v>
      </c>
      <c r="O13" s="96">
        <v>60</v>
      </c>
      <c r="P13" s="96">
        <f t="shared" ref="P13:P20" si="5">M13*Q13</f>
        <v>38</v>
      </c>
      <c r="Q13" s="94">
        <f t="shared" ref="Q13:Q20" si="6">N13/O13</f>
        <v>2</v>
      </c>
      <c r="R13" s="86">
        <f>H13*K23</f>
        <v>19380</v>
      </c>
      <c r="S13" s="86">
        <f>P13*L23</f>
        <v>3952</v>
      </c>
      <c r="T13" s="101">
        <f>SUM(H13*K23)+(P13*L23)</f>
        <v>23332</v>
      </c>
    </row>
    <row r="14" spans="1:20" x14ac:dyDescent="0.25">
      <c r="A14" s="77" t="s">
        <v>27</v>
      </c>
      <c r="B14" s="77">
        <v>7</v>
      </c>
      <c r="C14" s="99">
        <v>0.22916666666666699</v>
      </c>
      <c r="D14" s="99">
        <v>2.0833333333333301E-2</v>
      </c>
      <c r="E14" s="100">
        <v>19</v>
      </c>
      <c r="F14" s="100">
        <v>60</v>
      </c>
      <c r="G14" s="100">
        <v>30</v>
      </c>
      <c r="H14" s="100">
        <f t="shared" si="4"/>
        <v>38</v>
      </c>
      <c r="I14" s="88">
        <f t="shared" si="1"/>
        <v>2</v>
      </c>
      <c r="J14" s="94">
        <v>7</v>
      </c>
      <c r="K14" s="95">
        <v>0.22916666666666666</v>
      </c>
      <c r="L14" s="95">
        <v>2.0833333333333332E-2</v>
      </c>
      <c r="M14" s="96">
        <v>19</v>
      </c>
      <c r="N14" s="96">
        <v>60</v>
      </c>
      <c r="O14" s="96">
        <v>60</v>
      </c>
      <c r="P14" s="96">
        <f t="shared" si="5"/>
        <v>19</v>
      </c>
      <c r="Q14" s="94">
        <f t="shared" si="6"/>
        <v>1</v>
      </c>
      <c r="R14" s="86">
        <f>H14*K23</f>
        <v>9690</v>
      </c>
      <c r="S14" s="86">
        <f>P14*L23</f>
        <v>1976</v>
      </c>
      <c r="T14" s="101">
        <f>SUM(H14*K23)+(P14*L23)</f>
        <v>11666</v>
      </c>
    </row>
    <row r="15" spans="1:20" x14ac:dyDescent="0.25">
      <c r="A15" s="77" t="s">
        <v>28</v>
      </c>
      <c r="B15" s="77">
        <v>7</v>
      </c>
      <c r="C15" s="99">
        <v>0.22916666666666699</v>
      </c>
      <c r="D15" s="99">
        <v>2.0833333333333301E-2</v>
      </c>
      <c r="E15" s="100">
        <v>19</v>
      </c>
      <c r="F15" s="100">
        <v>30</v>
      </c>
      <c r="G15" s="100">
        <v>30</v>
      </c>
      <c r="H15" s="100">
        <f t="shared" si="4"/>
        <v>19</v>
      </c>
      <c r="I15" s="88">
        <f t="shared" si="1"/>
        <v>1</v>
      </c>
      <c r="J15" s="94">
        <v>7</v>
      </c>
      <c r="K15" s="95">
        <v>0.22916666666666666</v>
      </c>
      <c r="L15" s="95">
        <v>2.0833333333333332E-2</v>
      </c>
      <c r="M15" s="96">
        <v>19</v>
      </c>
      <c r="N15" s="96">
        <v>30</v>
      </c>
      <c r="O15" s="96">
        <v>30</v>
      </c>
      <c r="P15" s="96">
        <f t="shared" si="5"/>
        <v>19</v>
      </c>
      <c r="Q15" s="94">
        <f t="shared" si="6"/>
        <v>1</v>
      </c>
      <c r="R15" s="86">
        <f>H15*K23</f>
        <v>4845</v>
      </c>
      <c r="S15" s="86">
        <f>P15*L23</f>
        <v>1976</v>
      </c>
      <c r="T15" s="101">
        <f>SUM(H15*K23)+(P15*L23)</f>
        <v>6821</v>
      </c>
    </row>
    <row r="16" spans="1:20" x14ac:dyDescent="0.25">
      <c r="A16" s="77" t="s">
        <v>29</v>
      </c>
      <c r="B16" s="77">
        <v>7</v>
      </c>
      <c r="C16" s="99">
        <v>0.22916666666666699</v>
      </c>
      <c r="D16" s="99">
        <v>2.0833333333333301E-2</v>
      </c>
      <c r="E16" s="100">
        <v>19</v>
      </c>
      <c r="F16" s="100">
        <v>60</v>
      </c>
      <c r="G16" s="100">
        <v>30</v>
      </c>
      <c r="H16" s="100">
        <f t="shared" si="4"/>
        <v>38</v>
      </c>
      <c r="I16" s="88">
        <f t="shared" si="1"/>
        <v>2</v>
      </c>
      <c r="J16" s="94">
        <v>7</v>
      </c>
      <c r="K16" s="95">
        <v>0.22916666666666666</v>
      </c>
      <c r="L16" s="95">
        <v>2.0833333333333332E-2</v>
      </c>
      <c r="M16" s="96">
        <v>19</v>
      </c>
      <c r="N16" s="96">
        <v>60</v>
      </c>
      <c r="O16" s="96">
        <v>60</v>
      </c>
      <c r="P16" s="96">
        <f t="shared" si="5"/>
        <v>19</v>
      </c>
      <c r="Q16" s="94">
        <f t="shared" si="6"/>
        <v>1</v>
      </c>
      <c r="R16" s="86">
        <f>H16*K23</f>
        <v>9690</v>
      </c>
      <c r="S16" s="86">
        <f>P16*L23</f>
        <v>1976</v>
      </c>
      <c r="T16" s="101">
        <f>SUM(H16*K23)+(P16*L23)</f>
        <v>11666</v>
      </c>
    </row>
    <row r="17" spans="1:20" x14ac:dyDescent="0.25">
      <c r="A17" s="77" t="s">
        <v>30</v>
      </c>
      <c r="B17" s="77">
        <v>7</v>
      </c>
      <c r="C17" s="99">
        <v>0.22916666666666699</v>
      </c>
      <c r="D17" s="99">
        <v>2.0833333333333301E-2</v>
      </c>
      <c r="E17" s="100">
        <v>19</v>
      </c>
      <c r="F17" s="100">
        <v>60</v>
      </c>
      <c r="G17" s="100">
        <v>30</v>
      </c>
      <c r="H17" s="100">
        <f t="shared" si="4"/>
        <v>38</v>
      </c>
      <c r="I17" s="88">
        <f t="shared" si="1"/>
        <v>2</v>
      </c>
      <c r="J17" s="94">
        <v>7</v>
      </c>
      <c r="K17" s="95">
        <v>0.22916666666666666</v>
      </c>
      <c r="L17" s="95">
        <v>2.0833333333333332E-2</v>
      </c>
      <c r="M17" s="96">
        <v>19</v>
      </c>
      <c r="N17" s="96">
        <v>60</v>
      </c>
      <c r="O17" s="96">
        <v>60</v>
      </c>
      <c r="P17" s="96">
        <f t="shared" si="5"/>
        <v>19</v>
      </c>
      <c r="Q17" s="94">
        <f t="shared" si="6"/>
        <v>1</v>
      </c>
      <c r="R17" s="86">
        <f>H17*K23</f>
        <v>9690</v>
      </c>
      <c r="S17" s="86">
        <f>P17*L23</f>
        <v>1976</v>
      </c>
      <c r="T17" s="101">
        <f>SUM(H17*K23)+(P17*L23)</f>
        <v>11666</v>
      </c>
    </row>
    <row r="18" spans="1:20" x14ac:dyDescent="0.25">
      <c r="A18" s="77" t="s">
        <v>39</v>
      </c>
      <c r="B18" s="77">
        <v>7</v>
      </c>
      <c r="C18" s="99">
        <v>0.22916666666666699</v>
      </c>
      <c r="D18" s="99">
        <v>2.0833333333333301E-2</v>
      </c>
      <c r="E18" s="100">
        <v>19</v>
      </c>
      <c r="F18" s="100">
        <v>60</v>
      </c>
      <c r="G18" s="100">
        <v>30</v>
      </c>
      <c r="H18" s="100">
        <f t="shared" si="4"/>
        <v>38</v>
      </c>
      <c r="I18" s="88">
        <f t="shared" si="1"/>
        <v>2</v>
      </c>
      <c r="J18" s="94">
        <v>7</v>
      </c>
      <c r="K18" s="95">
        <v>0.22916666666666666</v>
      </c>
      <c r="L18" s="95">
        <v>2.0833333333333332E-2</v>
      </c>
      <c r="M18" s="96">
        <v>19</v>
      </c>
      <c r="N18" s="96">
        <v>60</v>
      </c>
      <c r="O18" s="96">
        <v>60</v>
      </c>
      <c r="P18" s="96">
        <f t="shared" si="5"/>
        <v>19</v>
      </c>
      <c r="Q18" s="94">
        <f t="shared" si="6"/>
        <v>1</v>
      </c>
      <c r="R18" s="86">
        <f>H18*K23</f>
        <v>9690</v>
      </c>
      <c r="S18" s="86">
        <f>P18*L23</f>
        <v>1976</v>
      </c>
      <c r="T18" s="101">
        <f>SUM(H18*K23)+(P18*L23)</f>
        <v>11666</v>
      </c>
    </row>
    <row r="19" spans="1:20" x14ac:dyDescent="0.25">
      <c r="A19" s="77" t="s">
        <v>44</v>
      </c>
      <c r="B19" s="77">
        <v>7</v>
      </c>
      <c r="C19" s="99">
        <v>0.22916666666666699</v>
      </c>
      <c r="D19" s="99">
        <v>2.0833333333333301E-2</v>
      </c>
      <c r="E19" s="100">
        <v>19</v>
      </c>
      <c r="F19" s="100">
        <v>90</v>
      </c>
      <c r="G19" s="100">
        <v>15</v>
      </c>
      <c r="H19" s="100">
        <f t="shared" si="4"/>
        <v>114</v>
      </c>
      <c r="I19" s="88">
        <f t="shared" si="1"/>
        <v>6</v>
      </c>
      <c r="J19" s="94">
        <v>7</v>
      </c>
      <c r="K19" s="95">
        <v>0.22916666666666666</v>
      </c>
      <c r="L19" s="95">
        <v>2.0833333333333332E-2</v>
      </c>
      <c r="M19" s="96">
        <v>19</v>
      </c>
      <c r="N19" s="96">
        <v>90</v>
      </c>
      <c r="O19" s="96">
        <v>15</v>
      </c>
      <c r="P19" s="96">
        <f t="shared" si="5"/>
        <v>114</v>
      </c>
      <c r="Q19" s="94">
        <f t="shared" si="6"/>
        <v>6</v>
      </c>
      <c r="R19" s="86">
        <f>H19*K23</f>
        <v>29070</v>
      </c>
      <c r="S19" s="86">
        <f>P19*L23</f>
        <v>11856</v>
      </c>
      <c r="T19" s="101">
        <f>SUM(H19*K23)+(P19*L23)</f>
        <v>40926</v>
      </c>
    </row>
    <row r="20" spans="1:20" x14ac:dyDescent="0.25">
      <c r="A20" s="77" t="s">
        <v>40</v>
      </c>
      <c r="B20" s="77">
        <v>7</v>
      </c>
      <c r="C20" s="99">
        <v>0.22916666666666699</v>
      </c>
      <c r="D20" s="99">
        <v>2.0833333333333301E-2</v>
      </c>
      <c r="E20" s="100">
        <v>19</v>
      </c>
      <c r="F20" s="100">
        <v>60</v>
      </c>
      <c r="G20" s="100">
        <v>30</v>
      </c>
      <c r="H20" s="100">
        <f t="shared" si="4"/>
        <v>38</v>
      </c>
      <c r="I20" s="88">
        <f t="shared" si="1"/>
        <v>2</v>
      </c>
      <c r="J20" s="94">
        <v>7</v>
      </c>
      <c r="K20" s="95">
        <v>0.22916666666666666</v>
      </c>
      <c r="L20" s="95">
        <v>2.0833333333333332E-2</v>
      </c>
      <c r="M20" s="96">
        <v>19</v>
      </c>
      <c r="N20" s="96">
        <v>60</v>
      </c>
      <c r="O20" s="96">
        <v>60</v>
      </c>
      <c r="P20" s="96">
        <f t="shared" si="5"/>
        <v>19</v>
      </c>
      <c r="Q20" s="94">
        <f t="shared" si="6"/>
        <v>1</v>
      </c>
      <c r="R20" s="86">
        <f>H20*K23</f>
        <v>9690</v>
      </c>
      <c r="S20" s="86">
        <f>P20*L23</f>
        <v>1976</v>
      </c>
      <c r="T20" s="101">
        <f>SUM(H20*K23)+(P20*L23)</f>
        <v>11666</v>
      </c>
    </row>
    <row r="21" spans="1:20" x14ac:dyDescent="0.25">
      <c r="I21" s="86">
        <f>SUM(I5:I20)</f>
        <v>37</v>
      </c>
      <c r="Q21" s="86">
        <f>SUM(Q5:Q20)</f>
        <v>22</v>
      </c>
      <c r="R21" s="86">
        <f>SUM(R5:R20)</f>
        <v>179265</v>
      </c>
      <c r="S21" s="86">
        <f>SUM(S5:S20)</f>
        <v>43472</v>
      </c>
      <c r="T21" s="102">
        <f>SUM(T5:T20)</f>
        <v>222737</v>
      </c>
    </row>
    <row r="22" spans="1:20" ht="45" x14ac:dyDescent="0.25">
      <c r="K22" s="101" t="s">
        <v>104</v>
      </c>
      <c r="L22" s="101" t="s">
        <v>105</v>
      </c>
    </row>
    <row r="23" spans="1:20" x14ac:dyDescent="0.25">
      <c r="K23" s="101">
        <v>255</v>
      </c>
      <c r="L23" s="101">
        <v>104</v>
      </c>
    </row>
    <row r="25" spans="1:20" x14ac:dyDescent="0.25">
      <c r="J25" s="83" t="s">
        <v>117</v>
      </c>
      <c r="K25" s="103">
        <v>79.78</v>
      </c>
    </row>
    <row r="26" spans="1:20" x14ac:dyDescent="0.25">
      <c r="J26" s="84" t="s">
        <v>120</v>
      </c>
      <c r="K26" s="104">
        <v>81.540000000000006</v>
      </c>
    </row>
    <row r="27" spans="1:20" x14ac:dyDescent="0.25">
      <c r="J27" s="84" t="s">
        <v>118</v>
      </c>
      <c r="K27" s="104">
        <v>83.33</v>
      </c>
    </row>
    <row r="28" spans="1:20" x14ac:dyDescent="0.25">
      <c r="J28" s="84"/>
      <c r="K28" s="104"/>
    </row>
  </sheetData>
  <mergeCells count="2">
    <mergeCell ref="B3:I3"/>
    <mergeCell ref="J3:Q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8"/>
  <sheetViews>
    <sheetView topLeftCell="I7" workbookViewId="0">
      <selection activeCell="T5" sqref="T5:T20"/>
    </sheetView>
  </sheetViews>
  <sheetFormatPr defaultColWidth="11.5703125" defaultRowHeight="15" x14ac:dyDescent="0.25"/>
  <cols>
    <col min="1" max="1" width="20.85546875" style="82" bestFit="1" customWidth="1"/>
    <col min="2" max="4" width="11.5703125" style="82"/>
    <col min="5" max="5" width="9.140625" style="82" bestFit="1" customWidth="1"/>
    <col min="6" max="17" width="11.5703125" style="82"/>
    <col min="18" max="19" width="11.5703125" style="89"/>
    <col min="20" max="20" width="15.140625" style="82" bestFit="1" customWidth="1"/>
    <col min="21" max="16384" width="11.5703125" style="82"/>
  </cols>
  <sheetData>
    <row r="3" spans="1:20" ht="14.45" customHeight="1" x14ac:dyDescent="0.25">
      <c r="A3" s="4"/>
      <c r="B3" s="143" t="s">
        <v>94</v>
      </c>
      <c r="C3" s="143"/>
      <c r="D3" s="143"/>
      <c r="E3" s="143"/>
      <c r="F3" s="143"/>
      <c r="G3" s="143"/>
      <c r="H3" s="143"/>
      <c r="I3" s="143"/>
      <c r="J3" s="144" t="s">
        <v>103</v>
      </c>
      <c r="K3" s="144"/>
      <c r="L3" s="144"/>
      <c r="M3" s="144"/>
      <c r="N3" s="144"/>
      <c r="O3" s="144"/>
      <c r="P3" s="144"/>
      <c r="Q3" s="144"/>
      <c r="R3" s="91"/>
      <c r="S3" s="91"/>
    </row>
    <row r="4" spans="1:20" ht="57" customHeight="1" thickBot="1" x14ac:dyDescent="0.3">
      <c r="A4" s="97" t="s">
        <v>73</v>
      </c>
      <c r="B4" s="98" t="s">
        <v>100</v>
      </c>
      <c r="C4" s="97" t="s">
        <v>95</v>
      </c>
      <c r="D4" s="97" t="s">
        <v>96</v>
      </c>
      <c r="E4" s="97" t="s">
        <v>101</v>
      </c>
      <c r="F4" s="97" t="s">
        <v>97</v>
      </c>
      <c r="G4" s="97" t="s">
        <v>98</v>
      </c>
      <c r="H4" s="97" t="s">
        <v>99</v>
      </c>
      <c r="I4" s="97" t="s">
        <v>102</v>
      </c>
      <c r="J4" s="92" t="s">
        <v>100</v>
      </c>
      <c r="K4" s="93" t="s">
        <v>95</v>
      </c>
      <c r="L4" s="93" t="s">
        <v>96</v>
      </c>
      <c r="M4" s="93" t="s">
        <v>101</v>
      </c>
      <c r="N4" s="93" t="s">
        <v>97</v>
      </c>
      <c r="O4" s="93" t="s">
        <v>98</v>
      </c>
      <c r="P4" s="93" t="s">
        <v>99</v>
      </c>
      <c r="Q4" s="93" t="s">
        <v>102</v>
      </c>
      <c r="R4" s="90" t="s">
        <v>107</v>
      </c>
      <c r="S4" s="90" t="s">
        <v>108</v>
      </c>
      <c r="T4" s="90" t="s">
        <v>106</v>
      </c>
    </row>
    <row r="5" spans="1:20" ht="15.75" thickTop="1" x14ac:dyDescent="0.25">
      <c r="A5" s="88" t="s">
        <v>31</v>
      </c>
      <c r="B5" s="88">
        <v>1</v>
      </c>
      <c r="C5" s="99">
        <v>0.22916666666666666</v>
      </c>
      <c r="D5" s="99">
        <v>2.0833333333333332E-2</v>
      </c>
      <c r="E5" s="100">
        <v>19</v>
      </c>
      <c r="F5" s="100">
        <v>60</v>
      </c>
      <c r="G5" s="100">
        <v>15</v>
      </c>
      <c r="H5" s="100">
        <f>E5*I5</f>
        <v>76</v>
      </c>
      <c r="I5" s="88">
        <f>F5/G5</f>
        <v>4</v>
      </c>
      <c r="J5" s="94">
        <v>1</v>
      </c>
      <c r="K5" s="95">
        <v>0.22916666666666666</v>
      </c>
      <c r="L5" s="95">
        <v>2.0833333333333332E-2</v>
      </c>
      <c r="M5" s="96">
        <v>19</v>
      </c>
      <c r="N5" s="96">
        <v>60</v>
      </c>
      <c r="O5" s="96">
        <v>60</v>
      </c>
      <c r="P5" s="96">
        <f>M5*Q5</f>
        <v>19</v>
      </c>
      <c r="Q5" s="94">
        <f>N5/O5</f>
        <v>1</v>
      </c>
      <c r="R5" s="86">
        <f>H5*K23</f>
        <v>19380</v>
      </c>
      <c r="S5" s="86">
        <f>P5*L23</f>
        <v>1976</v>
      </c>
      <c r="T5" s="101">
        <f>SUM(H5*K23)+(P5*L23)</f>
        <v>21356</v>
      </c>
    </row>
    <row r="6" spans="1:20" x14ac:dyDescent="0.25">
      <c r="A6" s="88" t="s">
        <v>32</v>
      </c>
      <c r="B6" s="88">
        <v>1</v>
      </c>
      <c r="C6" s="99">
        <v>0.22916666666666666</v>
      </c>
      <c r="D6" s="99">
        <v>2.0833333333333332E-2</v>
      </c>
      <c r="E6" s="100">
        <v>19</v>
      </c>
      <c r="F6" s="100">
        <v>60</v>
      </c>
      <c r="G6" s="100">
        <v>15</v>
      </c>
      <c r="H6" s="100">
        <f>E6*I6</f>
        <v>76</v>
      </c>
      <c r="I6" s="88">
        <f>F6/G6</f>
        <v>4</v>
      </c>
      <c r="J6" s="94">
        <v>1</v>
      </c>
      <c r="K6" s="95">
        <v>0.22916666666666666</v>
      </c>
      <c r="L6" s="95">
        <v>2.0833333333333332E-2</v>
      </c>
      <c r="M6" s="96">
        <v>19</v>
      </c>
      <c r="N6" s="96">
        <v>60</v>
      </c>
      <c r="O6" s="96">
        <v>60</v>
      </c>
      <c r="P6" s="96">
        <f>M6*Q6</f>
        <v>19</v>
      </c>
      <c r="Q6" s="94">
        <f>N6/O6</f>
        <v>1</v>
      </c>
      <c r="R6" s="86">
        <f>H6*K23</f>
        <v>19380</v>
      </c>
      <c r="S6" s="86">
        <f>P6*L23</f>
        <v>1976</v>
      </c>
      <c r="T6" s="101">
        <f>SUM(H6*K23)+(P6*L23)</f>
        <v>21356</v>
      </c>
    </row>
    <row r="7" spans="1:20" x14ac:dyDescent="0.25">
      <c r="A7" s="88" t="s">
        <v>33</v>
      </c>
      <c r="B7" s="88">
        <v>1</v>
      </c>
      <c r="C7" s="99">
        <v>0.22916666666666666</v>
      </c>
      <c r="D7" s="99">
        <v>2.0833333333333332E-2</v>
      </c>
      <c r="E7" s="100">
        <v>19</v>
      </c>
      <c r="F7" s="100">
        <v>60</v>
      </c>
      <c r="G7" s="100">
        <v>15</v>
      </c>
      <c r="H7" s="100">
        <f t="shared" ref="H7:H10" si="0">E7*I7</f>
        <v>76</v>
      </c>
      <c r="I7" s="88">
        <f t="shared" ref="I7:I20" si="1">F7/G7</f>
        <v>4</v>
      </c>
      <c r="J7" s="94">
        <v>1</v>
      </c>
      <c r="K7" s="95">
        <v>0.22916666666666666</v>
      </c>
      <c r="L7" s="95">
        <v>2.0833333333333332E-2</v>
      </c>
      <c r="M7" s="96">
        <v>19</v>
      </c>
      <c r="N7" s="96">
        <v>60</v>
      </c>
      <c r="O7" s="96">
        <v>60</v>
      </c>
      <c r="P7" s="96">
        <f t="shared" ref="P7:P20" si="2">M7*Q7</f>
        <v>19</v>
      </c>
      <c r="Q7" s="94">
        <f t="shared" ref="Q7:Q20" si="3">N7/O7</f>
        <v>1</v>
      </c>
      <c r="R7" s="86">
        <f>H7*K23</f>
        <v>19380</v>
      </c>
      <c r="S7" s="86">
        <f>P7*L23</f>
        <v>1976</v>
      </c>
      <c r="T7" s="101">
        <f>SUM(H7*K23)+(P7*L23)</f>
        <v>21356</v>
      </c>
    </row>
    <row r="8" spans="1:20" x14ac:dyDescent="0.25">
      <c r="A8" s="88" t="s">
        <v>34</v>
      </c>
      <c r="B8" s="88">
        <v>1</v>
      </c>
      <c r="C8" s="99">
        <v>0.22916666666666666</v>
      </c>
      <c r="D8" s="99">
        <v>2.0833333333333332E-2</v>
      </c>
      <c r="E8" s="100">
        <v>19</v>
      </c>
      <c r="F8" s="100">
        <v>60</v>
      </c>
      <c r="G8" s="100">
        <v>15</v>
      </c>
      <c r="H8" s="100">
        <f t="shared" si="0"/>
        <v>76</v>
      </c>
      <c r="I8" s="88">
        <f t="shared" si="1"/>
        <v>4</v>
      </c>
      <c r="J8" s="94">
        <v>1</v>
      </c>
      <c r="K8" s="95">
        <v>0.22916666666666666</v>
      </c>
      <c r="L8" s="95">
        <v>2.0833333333333332E-2</v>
      </c>
      <c r="M8" s="96">
        <v>19</v>
      </c>
      <c r="N8" s="96">
        <v>60</v>
      </c>
      <c r="O8" s="96">
        <v>60</v>
      </c>
      <c r="P8" s="96">
        <f t="shared" si="2"/>
        <v>19</v>
      </c>
      <c r="Q8" s="94">
        <f t="shared" si="3"/>
        <v>1</v>
      </c>
      <c r="R8" s="86">
        <f>H8*K23</f>
        <v>19380</v>
      </c>
      <c r="S8" s="86">
        <f>P8*L23</f>
        <v>1976</v>
      </c>
      <c r="T8" s="101">
        <f>SUM(H8*K23)+(P8*L23)</f>
        <v>21356</v>
      </c>
    </row>
    <row r="9" spans="1:20" x14ac:dyDescent="0.25">
      <c r="A9" s="88" t="s">
        <v>35</v>
      </c>
      <c r="B9" s="88">
        <v>1</v>
      </c>
      <c r="C9" s="99">
        <v>0.22916666666666666</v>
      </c>
      <c r="D9" s="99">
        <v>2.0833333333333332E-2</v>
      </c>
      <c r="E9" s="100">
        <v>19</v>
      </c>
      <c r="F9" s="100">
        <v>60</v>
      </c>
      <c r="G9" s="100">
        <v>15</v>
      </c>
      <c r="H9" s="100">
        <f t="shared" si="0"/>
        <v>76</v>
      </c>
      <c r="I9" s="88">
        <f t="shared" si="1"/>
        <v>4</v>
      </c>
      <c r="J9" s="94">
        <v>1</v>
      </c>
      <c r="K9" s="95">
        <v>0.22916666666666666</v>
      </c>
      <c r="L9" s="95">
        <v>2.0833333333333332E-2</v>
      </c>
      <c r="M9" s="96">
        <v>19</v>
      </c>
      <c r="N9" s="96">
        <v>60</v>
      </c>
      <c r="O9" s="96">
        <v>60</v>
      </c>
      <c r="P9" s="96">
        <f t="shared" si="2"/>
        <v>19</v>
      </c>
      <c r="Q9" s="94">
        <f t="shared" si="3"/>
        <v>1</v>
      </c>
      <c r="R9" s="86">
        <f>H9*K23</f>
        <v>19380</v>
      </c>
      <c r="S9" s="86">
        <f>P9*L23</f>
        <v>1976</v>
      </c>
      <c r="T9" s="101">
        <f>SUM(H9*K23)+(P9*L23)</f>
        <v>21356</v>
      </c>
    </row>
    <row r="10" spans="1:20" x14ac:dyDescent="0.25">
      <c r="A10" s="88" t="s">
        <v>36</v>
      </c>
      <c r="B10" s="88">
        <v>1</v>
      </c>
      <c r="C10" s="99">
        <v>0.22916666666666666</v>
      </c>
      <c r="D10" s="99">
        <v>2.0833333333333332E-2</v>
      </c>
      <c r="E10" s="100">
        <v>19</v>
      </c>
      <c r="F10" s="100">
        <v>60</v>
      </c>
      <c r="G10" s="100">
        <v>15</v>
      </c>
      <c r="H10" s="100">
        <f t="shared" si="0"/>
        <v>76</v>
      </c>
      <c r="I10" s="88">
        <f t="shared" si="1"/>
        <v>4</v>
      </c>
      <c r="J10" s="94">
        <v>1</v>
      </c>
      <c r="K10" s="95">
        <v>0.22916666666666666</v>
      </c>
      <c r="L10" s="95">
        <v>2.0833333333333332E-2</v>
      </c>
      <c r="M10" s="96">
        <v>19</v>
      </c>
      <c r="N10" s="96">
        <v>60</v>
      </c>
      <c r="O10" s="96">
        <v>60</v>
      </c>
      <c r="P10" s="96">
        <f t="shared" si="2"/>
        <v>19</v>
      </c>
      <c r="Q10" s="94">
        <f t="shared" si="3"/>
        <v>1</v>
      </c>
      <c r="R10" s="86">
        <f>H10*K23</f>
        <v>19380</v>
      </c>
      <c r="S10" s="86">
        <f>P10*L23</f>
        <v>1976</v>
      </c>
      <c r="T10" s="101">
        <f>SUM(H10*K23)+(P10*L23)</f>
        <v>21356</v>
      </c>
    </row>
    <row r="11" spans="1:20" x14ac:dyDescent="0.25">
      <c r="A11" s="88" t="s">
        <v>37</v>
      </c>
      <c r="B11" s="88">
        <v>1</v>
      </c>
      <c r="C11" s="99">
        <v>0.22916666666666666</v>
      </c>
      <c r="D11" s="99">
        <v>2.0833333333333332E-2</v>
      </c>
      <c r="E11" s="100">
        <v>19</v>
      </c>
      <c r="F11" s="100">
        <v>60</v>
      </c>
      <c r="G11" s="100">
        <v>15</v>
      </c>
      <c r="H11" s="100">
        <f>E11*I11</f>
        <v>76</v>
      </c>
      <c r="I11" s="88">
        <f t="shared" si="1"/>
        <v>4</v>
      </c>
      <c r="J11" s="94">
        <v>1</v>
      </c>
      <c r="K11" s="95">
        <v>0.22916666666666666</v>
      </c>
      <c r="L11" s="95">
        <v>2.0833333333333332E-2</v>
      </c>
      <c r="M11" s="96">
        <v>19</v>
      </c>
      <c r="N11" s="96">
        <v>60</v>
      </c>
      <c r="O11" s="96">
        <v>60</v>
      </c>
      <c r="P11" s="96">
        <f t="shared" si="2"/>
        <v>19</v>
      </c>
      <c r="Q11" s="94">
        <f t="shared" si="3"/>
        <v>1</v>
      </c>
      <c r="R11" s="86">
        <f>H11*K23</f>
        <v>19380</v>
      </c>
      <c r="S11" s="86">
        <f>P11*L23</f>
        <v>1976</v>
      </c>
      <c r="T11" s="101">
        <f>SUM(H11*K23)+(P11*L23)</f>
        <v>21356</v>
      </c>
    </row>
    <row r="12" spans="1:20" x14ac:dyDescent="0.25">
      <c r="A12" s="88" t="s">
        <v>45</v>
      </c>
      <c r="B12" s="88">
        <v>1</v>
      </c>
      <c r="C12" s="99">
        <v>0.1875</v>
      </c>
      <c r="D12" s="99">
        <v>0.10416666666666667</v>
      </c>
      <c r="E12" s="100">
        <v>22</v>
      </c>
      <c r="F12" s="100">
        <v>60</v>
      </c>
      <c r="G12" s="100">
        <v>15</v>
      </c>
      <c r="H12" s="100">
        <f>E12*I12</f>
        <v>88</v>
      </c>
      <c r="I12" s="88">
        <f t="shared" si="1"/>
        <v>4</v>
      </c>
      <c r="J12" s="94">
        <v>1</v>
      </c>
      <c r="K12" s="95">
        <v>0.1875</v>
      </c>
      <c r="L12" s="95">
        <v>0.10416666666666667</v>
      </c>
      <c r="M12" s="96">
        <v>22</v>
      </c>
      <c r="N12" s="96">
        <v>60</v>
      </c>
      <c r="O12" s="96">
        <v>60</v>
      </c>
      <c r="P12" s="96">
        <f t="shared" si="2"/>
        <v>22</v>
      </c>
      <c r="Q12" s="94">
        <f t="shared" si="3"/>
        <v>1</v>
      </c>
      <c r="R12" s="86">
        <f>H12*K23</f>
        <v>22440</v>
      </c>
      <c r="S12" s="86">
        <f>P12*L23</f>
        <v>2288</v>
      </c>
      <c r="T12" s="101">
        <f>SUM(H12*K23)+(P12*L23)</f>
        <v>24728</v>
      </c>
    </row>
    <row r="13" spans="1:20" x14ac:dyDescent="0.25">
      <c r="A13" s="88" t="s">
        <v>38</v>
      </c>
      <c r="B13" s="88">
        <v>7</v>
      </c>
      <c r="C13" s="99">
        <v>0.22916666666666666</v>
      </c>
      <c r="D13" s="99">
        <v>2.0833333333333332E-2</v>
      </c>
      <c r="E13" s="100">
        <v>19</v>
      </c>
      <c r="F13" s="100">
        <v>120</v>
      </c>
      <c r="G13" s="100">
        <v>15</v>
      </c>
      <c r="H13" s="100">
        <f t="shared" ref="H13:H20" si="4">E13*I13</f>
        <v>152</v>
      </c>
      <c r="I13" s="88">
        <f t="shared" si="1"/>
        <v>8</v>
      </c>
      <c r="J13" s="94">
        <v>7</v>
      </c>
      <c r="K13" s="95">
        <v>0.22916666666666666</v>
      </c>
      <c r="L13" s="95">
        <v>2.0833333333333332E-2</v>
      </c>
      <c r="M13" s="96">
        <v>19</v>
      </c>
      <c r="N13" s="96">
        <v>120</v>
      </c>
      <c r="O13" s="96">
        <v>60</v>
      </c>
      <c r="P13" s="96">
        <f t="shared" si="2"/>
        <v>38</v>
      </c>
      <c r="Q13" s="94">
        <f t="shared" si="3"/>
        <v>2</v>
      </c>
      <c r="R13" s="86">
        <f>H13*K23</f>
        <v>38760</v>
      </c>
      <c r="S13" s="86">
        <f>P13*L23</f>
        <v>3952</v>
      </c>
      <c r="T13" s="101">
        <f>SUM(H13*K23)+(P13*L23)</f>
        <v>42712</v>
      </c>
    </row>
    <row r="14" spans="1:20" x14ac:dyDescent="0.25">
      <c r="A14" s="88" t="s">
        <v>27</v>
      </c>
      <c r="B14" s="88">
        <v>7</v>
      </c>
      <c r="C14" s="99">
        <v>0.22916666666666699</v>
      </c>
      <c r="D14" s="99">
        <v>2.0833333333333301E-2</v>
      </c>
      <c r="E14" s="100">
        <v>19</v>
      </c>
      <c r="F14" s="100">
        <v>60</v>
      </c>
      <c r="G14" s="100">
        <v>15</v>
      </c>
      <c r="H14" s="100">
        <f t="shared" si="4"/>
        <v>76</v>
      </c>
      <c r="I14" s="88">
        <f t="shared" si="1"/>
        <v>4</v>
      </c>
      <c r="J14" s="94">
        <v>7</v>
      </c>
      <c r="K14" s="95">
        <v>0.22916666666666666</v>
      </c>
      <c r="L14" s="95">
        <v>2.0833333333333332E-2</v>
      </c>
      <c r="M14" s="96">
        <v>19</v>
      </c>
      <c r="N14" s="96">
        <v>60</v>
      </c>
      <c r="O14" s="96">
        <v>60</v>
      </c>
      <c r="P14" s="96">
        <f t="shared" si="2"/>
        <v>19</v>
      </c>
      <c r="Q14" s="94">
        <f t="shared" si="3"/>
        <v>1</v>
      </c>
      <c r="R14" s="86">
        <f>H14*K23</f>
        <v>19380</v>
      </c>
      <c r="S14" s="86">
        <f>P14*L23</f>
        <v>1976</v>
      </c>
      <c r="T14" s="101">
        <f>SUM(H14*K23)+(P14*L23)</f>
        <v>21356</v>
      </c>
    </row>
    <row r="15" spans="1:20" x14ac:dyDescent="0.25">
      <c r="A15" s="88" t="s">
        <v>28</v>
      </c>
      <c r="B15" s="88">
        <v>7</v>
      </c>
      <c r="C15" s="99">
        <v>0.22916666666666699</v>
      </c>
      <c r="D15" s="99">
        <v>2.0833333333333301E-2</v>
      </c>
      <c r="E15" s="100">
        <v>19</v>
      </c>
      <c r="F15" s="100">
        <v>30</v>
      </c>
      <c r="G15" s="100">
        <v>15</v>
      </c>
      <c r="H15" s="100">
        <f t="shared" si="4"/>
        <v>38</v>
      </c>
      <c r="I15" s="88">
        <f t="shared" si="1"/>
        <v>2</v>
      </c>
      <c r="J15" s="94">
        <v>7</v>
      </c>
      <c r="K15" s="95">
        <v>0.22916666666666666</v>
      </c>
      <c r="L15" s="95">
        <v>2.0833333333333332E-2</v>
      </c>
      <c r="M15" s="96">
        <v>19</v>
      </c>
      <c r="N15" s="96">
        <v>30</v>
      </c>
      <c r="O15" s="96">
        <v>30</v>
      </c>
      <c r="P15" s="96">
        <f t="shared" si="2"/>
        <v>19</v>
      </c>
      <c r="Q15" s="94">
        <f t="shared" si="3"/>
        <v>1</v>
      </c>
      <c r="R15" s="86">
        <f>H15*K23</f>
        <v>9690</v>
      </c>
      <c r="S15" s="86">
        <f>P15*L23</f>
        <v>1976</v>
      </c>
      <c r="T15" s="101">
        <f>SUM(H15*K23)+(P15*L23)</f>
        <v>11666</v>
      </c>
    </row>
    <row r="16" spans="1:20" x14ac:dyDescent="0.25">
      <c r="A16" s="88" t="s">
        <v>29</v>
      </c>
      <c r="B16" s="88">
        <v>7</v>
      </c>
      <c r="C16" s="99">
        <v>0.22916666666666699</v>
      </c>
      <c r="D16" s="99">
        <v>2.0833333333333301E-2</v>
      </c>
      <c r="E16" s="100">
        <v>19</v>
      </c>
      <c r="F16" s="100">
        <v>60</v>
      </c>
      <c r="G16" s="100">
        <v>15</v>
      </c>
      <c r="H16" s="100">
        <f t="shared" si="4"/>
        <v>76</v>
      </c>
      <c r="I16" s="88">
        <f t="shared" si="1"/>
        <v>4</v>
      </c>
      <c r="J16" s="94">
        <v>7</v>
      </c>
      <c r="K16" s="95">
        <v>0.22916666666666666</v>
      </c>
      <c r="L16" s="95">
        <v>2.0833333333333332E-2</v>
      </c>
      <c r="M16" s="96">
        <v>19</v>
      </c>
      <c r="N16" s="96">
        <v>60</v>
      </c>
      <c r="O16" s="96">
        <v>60</v>
      </c>
      <c r="P16" s="96">
        <f t="shared" si="2"/>
        <v>19</v>
      </c>
      <c r="Q16" s="94">
        <f t="shared" si="3"/>
        <v>1</v>
      </c>
      <c r="R16" s="86">
        <f>H16*K23</f>
        <v>19380</v>
      </c>
      <c r="S16" s="86">
        <f>P16*L23</f>
        <v>1976</v>
      </c>
      <c r="T16" s="101">
        <f>SUM(H16*K23)+(P16*L23)</f>
        <v>21356</v>
      </c>
    </row>
    <row r="17" spans="1:20" x14ac:dyDescent="0.25">
      <c r="A17" s="88" t="s">
        <v>30</v>
      </c>
      <c r="B17" s="88">
        <v>7</v>
      </c>
      <c r="C17" s="99">
        <v>0.22916666666666699</v>
      </c>
      <c r="D17" s="99">
        <v>2.0833333333333301E-2</v>
      </c>
      <c r="E17" s="100">
        <v>19</v>
      </c>
      <c r="F17" s="100">
        <v>60</v>
      </c>
      <c r="G17" s="100">
        <v>15</v>
      </c>
      <c r="H17" s="100">
        <f t="shared" si="4"/>
        <v>76</v>
      </c>
      <c r="I17" s="88">
        <f t="shared" si="1"/>
        <v>4</v>
      </c>
      <c r="J17" s="94">
        <v>7</v>
      </c>
      <c r="K17" s="95">
        <v>0.22916666666666666</v>
      </c>
      <c r="L17" s="95">
        <v>2.0833333333333332E-2</v>
      </c>
      <c r="M17" s="96">
        <v>19</v>
      </c>
      <c r="N17" s="96">
        <v>60</v>
      </c>
      <c r="O17" s="96">
        <v>60</v>
      </c>
      <c r="P17" s="96">
        <f t="shared" si="2"/>
        <v>19</v>
      </c>
      <c r="Q17" s="94">
        <f t="shared" si="3"/>
        <v>1</v>
      </c>
      <c r="R17" s="86">
        <f>H17*K23</f>
        <v>19380</v>
      </c>
      <c r="S17" s="86">
        <f>P17*L23</f>
        <v>1976</v>
      </c>
      <c r="T17" s="101">
        <f>SUM(H17*K23)+(P17*L23)</f>
        <v>21356</v>
      </c>
    </row>
    <row r="18" spans="1:20" x14ac:dyDescent="0.25">
      <c r="A18" s="88" t="s">
        <v>39</v>
      </c>
      <c r="B18" s="88">
        <v>7</v>
      </c>
      <c r="C18" s="99">
        <v>0.22916666666666699</v>
      </c>
      <c r="D18" s="99">
        <v>2.0833333333333301E-2</v>
      </c>
      <c r="E18" s="100">
        <v>19</v>
      </c>
      <c r="F18" s="100">
        <v>60</v>
      </c>
      <c r="G18" s="100">
        <v>15</v>
      </c>
      <c r="H18" s="100">
        <f t="shared" si="4"/>
        <v>76</v>
      </c>
      <c r="I18" s="88">
        <f t="shared" si="1"/>
        <v>4</v>
      </c>
      <c r="J18" s="94">
        <v>7</v>
      </c>
      <c r="K18" s="95">
        <v>0.22916666666666666</v>
      </c>
      <c r="L18" s="95">
        <v>2.0833333333333332E-2</v>
      </c>
      <c r="M18" s="96">
        <v>19</v>
      </c>
      <c r="N18" s="96">
        <v>60</v>
      </c>
      <c r="O18" s="96">
        <v>60</v>
      </c>
      <c r="P18" s="96">
        <f t="shared" si="2"/>
        <v>19</v>
      </c>
      <c r="Q18" s="94">
        <f t="shared" si="3"/>
        <v>1</v>
      </c>
      <c r="R18" s="86">
        <f>H18*K23</f>
        <v>19380</v>
      </c>
      <c r="S18" s="86">
        <f>P18*L23</f>
        <v>1976</v>
      </c>
      <c r="T18" s="101">
        <f>SUM(H18*K23)+(P18*L23)</f>
        <v>21356</v>
      </c>
    </row>
    <row r="19" spans="1:20" x14ac:dyDescent="0.25">
      <c r="A19" s="88" t="s">
        <v>44</v>
      </c>
      <c r="B19" s="88">
        <v>7</v>
      </c>
      <c r="C19" s="99">
        <v>0.22916666666666699</v>
      </c>
      <c r="D19" s="99">
        <v>2.0833333333333301E-2</v>
      </c>
      <c r="E19" s="100">
        <v>19</v>
      </c>
      <c r="F19" s="100">
        <v>90</v>
      </c>
      <c r="G19" s="100">
        <v>15</v>
      </c>
      <c r="H19" s="100">
        <f t="shared" si="4"/>
        <v>114</v>
      </c>
      <c r="I19" s="88">
        <f t="shared" si="1"/>
        <v>6</v>
      </c>
      <c r="J19" s="94">
        <v>7</v>
      </c>
      <c r="K19" s="95">
        <v>0.22916666666666666</v>
      </c>
      <c r="L19" s="95">
        <v>2.0833333333333332E-2</v>
      </c>
      <c r="M19" s="96">
        <v>19</v>
      </c>
      <c r="N19" s="96">
        <v>90</v>
      </c>
      <c r="O19" s="96">
        <v>15</v>
      </c>
      <c r="P19" s="96">
        <f t="shared" si="2"/>
        <v>114</v>
      </c>
      <c r="Q19" s="94">
        <f t="shared" si="3"/>
        <v>6</v>
      </c>
      <c r="R19" s="86">
        <f>H19*K23</f>
        <v>29070</v>
      </c>
      <c r="S19" s="86">
        <f>P19*L23</f>
        <v>11856</v>
      </c>
      <c r="T19" s="101">
        <f>SUM(H19*K23)+(P19*L23)</f>
        <v>40926</v>
      </c>
    </row>
    <row r="20" spans="1:20" x14ac:dyDescent="0.25">
      <c r="A20" s="88" t="s">
        <v>40</v>
      </c>
      <c r="B20" s="88">
        <v>7</v>
      </c>
      <c r="C20" s="99">
        <v>0.22916666666666699</v>
      </c>
      <c r="D20" s="99">
        <v>2.0833333333333301E-2</v>
      </c>
      <c r="E20" s="100">
        <v>19</v>
      </c>
      <c r="F20" s="100">
        <v>60</v>
      </c>
      <c r="G20" s="100">
        <v>15</v>
      </c>
      <c r="H20" s="100">
        <f t="shared" si="4"/>
        <v>76</v>
      </c>
      <c r="I20" s="88">
        <f t="shared" si="1"/>
        <v>4</v>
      </c>
      <c r="J20" s="94">
        <v>7</v>
      </c>
      <c r="K20" s="95">
        <v>0.22916666666666666</v>
      </c>
      <c r="L20" s="95">
        <v>2.0833333333333332E-2</v>
      </c>
      <c r="M20" s="96">
        <v>19</v>
      </c>
      <c r="N20" s="96">
        <v>60</v>
      </c>
      <c r="O20" s="96">
        <v>60</v>
      </c>
      <c r="P20" s="96">
        <f t="shared" si="2"/>
        <v>19</v>
      </c>
      <c r="Q20" s="94">
        <f t="shared" si="3"/>
        <v>1</v>
      </c>
      <c r="R20" s="86">
        <f>H20*K23</f>
        <v>19380</v>
      </c>
      <c r="S20" s="86">
        <f>P20*L23</f>
        <v>1976</v>
      </c>
      <c r="T20" s="101">
        <f>SUM(H20*K23)+(P20*L23)</f>
        <v>21356</v>
      </c>
    </row>
    <row r="21" spans="1:20" x14ac:dyDescent="0.25">
      <c r="I21" s="86">
        <f>SUM(I5:I20)</f>
        <v>68</v>
      </c>
      <c r="Q21" s="86">
        <f>SUM(Q5:Q20)</f>
        <v>22</v>
      </c>
      <c r="R21" s="86">
        <f>SUM(R5:R20)</f>
        <v>332520</v>
      </c>
      <c r="S21" s="86">
        <f>SUM(S5:S20)</f>
        <v>43784</v>
      </c>
      <c r="T21" s="102">
        <f>SUM(T5:T20)</f>
        <v>376304</v>
      </c>
    </row>
    <row r="22" spans="1:20" ht="45" x14ac:dyDescent="0.25">
      <c r="K22" s="101" t="s">
        <v>104</v>
      </c>
      <c r="L22" s="101" t="s">
        <v>105</v>
      </c>
    </row>
    <row r="23" spans="1:20" x14ac:dyDescent="0.25">
      <c r="K23" s="101">
        <v>255</v>
      </c>
      <c r="L23" s="101">
        <v>104</v>
      </c>
    </row>
    <row r="25" spans="1:20" x14ac:dyDescent="0.25">
      <c r="J25" s="83" t="s">
        <v>119</v>
      </c>
      <c r="K25" s="103">
        <v>83.33</v>
      </c>
    </row>
    <row r="26" spans="1:20" x14ac:dyDescent="0.25">
      <c r="J26" s="84" t="s">
        <v>121</v>
      </c>
      <c r="K26" s="104">
        <v>85.16</v>
      </c>
    </row>
    <row r="27" spans="1:20" x14ac:dyDescent="0.25">
      <c r="J27" s="84" t="s">
        <v>122</v>
      </c>
      <c r="K27" s="104">
        <v>87.04</v>
      </c>
    </row>
    <row r="28" spans="1:20" x14ac:dyDescent="0.25">
      <c r="J28" s="84" t="s">
        <v>123</v>
      </c>
      <c r="K28" s="104">
        <v>88.95</v>
      </c>
    </row>
  </sheetData>
  <mergeCells count="2">
    <mergeCell ref="B3:I3"/>
    <mergeCell ref="J3:Q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2"/>
  <sheetViews>
    <sheetView topLeftCell="H16" workbookViewId="0">
      <selection activeCell="K32" sqref="K32"/>
    </sheetView>
  </sheetViews>
  <sheetFormatPr defaultColWidth="11.5703125" defaultRowHeight="15" x14ac:dyDescent="0.25"/>
  <cols>
    <col min="1" max="1" width="20.85546875" style="82" bestFit="1" customWidth="1"/>
    <col min="2" max="4" width="11.5703125" style="82"/>
    <col min="5" max="5" width="9.140625" style="82" bestFit="1" customWidth="1"/>
    <col min="6" max="17" width="11.5703125" style="82"/>
    <col min="18" max="19" width="11.5703125" style="89"/>
    <col min="20" max="20" width="15.140625" style="82" bestFit="1" customWidth="1"/>
    <col min="21" max="16384" width="11.5703125" style="82"/>
  </cols>
  <sheetData>
    <row r="3" spans="1:20" ht="14.45" customHeight="1" x14ac:dyDescent="0.25">
      <c r="A3" s="4"/>
      <c r="B3" s="143" t="s">
        <v>94</v>
      </c>
      <c r="C3" s="143"/>
      <c r="D3" s="143"/>
      <c r="E3" s="143"/>
      <c r="F3" s="143"/>
      <c r="G3" s="143"/>
      <c r="H3" s="143"/>
      <c r="I3" s="143"/>
      <c r="J3" s="144" t="s">
        <v>103</v>
      </c>
      <c r="K3" s="144"/>
      <c r="L3" s="144"/>
      <c r="M3" s="144"/>
      <c r="N3" s="144"/>
      <c r="O3" s="144"/>
      <c r="P3" s="144"/>
      <c r="Q3" s="144"/>
      <c r="R3" s="91"/>
      <c r="S3" s="91"/>
    </row>
    <row r="4" spans="1:20" ht="57" customHeight="1" thickBot="1" x14ac:dyDescent="0.3">
      <c r="A4" s="97" t="s">
        <v>73</v>
      </c>
      <c r="B4" s="98" t="s">
        <v>100</v>
      </c>
      <c r="C4" s="97" t="s">
        <v>95</v>
      </c>
      <c r="D4" s="97" t="s">
        <v>96</v>
      </c>
      <c r="E4" s="97" t="s">
        <v>101</v>
      </c>
      <c r="F4" s="97" t="s">
        <v>97</v>
      </c>
      <c r="G4" s="97" t="s">
        <v>98</v>
      </c>
      <c r="H4" s="97" t="s">
        <v>99</v>
      </c>
      <c r="I4" s="97" t="s">
        <v>102</v>
      </c>
      <c r="J4" s="92" t="s">
        <v>100</v>
      </c>
      <c r="K4" s="93" t="s">
        <v>95</v>
      </c>
      <c r="L4" s="93" t="s">
        <v>96</v>
      </c>
      <c r="M4" s="93" t="s">
        <v>101</v>
      </c>
      <c r="N4" s="93" t="s">
        <v>97</v>
      </c>
      <c r="O4" s="93" t="s">
        <v>98</v>
      </c>
      <c r="P4" s="93" t="s">
        <v>99</v>
      </c>
      <c r="Q4" s="93" t="s">
        <v>102</v>
      </c>
      <c r="R4" s="90" t="s">
        <v>107</v>
      </c>
      <c r="S4" s="90" t="s">
        <v>108</v>
      </c>
      <c r="T4" s="90" t="s">
        <v>106</v>
      </c>
    </row>
    <row r="5" spans="1:20" ht="15.75" thickTop="1" x14ac:dyDescent="0.25">
      <c r="A5" s="88" t="s">
        <v>31</v>
      </c>
      <c r="B5" s="88">
        <v>1</v>
      </c>
      <c r="C5" s="99">
        <v>0.22916666666666666</v>
      </c>
      <c r="D5" s="99">
        <v>2.0833333333333332E-2</v>
      </c>
      <c r="E5" s="100">
        <v>19</v>
      </c>
      <c r="F5" s="100">
        <v>60</v>
      </c>
      <c r="G5" s="100">
        <v>15</v>
      </c>
      <c r="H5" s="100">
        <f>E5*I5</f>
        <v>76</v>
      </c>
      <c r="I5" s="88">
        <f>F5/G5</f>
        <v>4</v>
      </c>
      <c r="J5" s="94">
        <v>1</v>
      </c>
      <c r="K5" s="95">
        <v>0.22916666666666666</v>
      </c>
      <c r="L5" s="95">
        <v>2.0833333333333332E-2</v>
      </c>
      <c r="M5" s="96">
        <v>19</v>
      </c>
      <c r="N5" s="96">
        <v>60</v>
      </c>
      <c r="O5" s="96">
        <v>30</v>
      </c>
      <c r="P5" s="96">
        <f>M5*Q5</f>
        <v>38</v>
      </c>
      <c r="Q5" s="94">
        <f>N5/O5</f>
        <v>2</v>
      </c>
      <c r="R5" s="86">
        <f>H5*K27</f>
        <v>19380</v>
      </c>
      <c r="S5" s="86">
        <f>P5*L27</f>
        <v>3952</v>
      </c>
      <c r="T5" s="101">
        <f>SUM(H5*K27)+(P5*L27)</f>
        <v>23332</v>
      </c>
    </row>
    <row r="6" spans="1:20" x14ac:dyDescent="0.25">
      <c r="A6" s="88" t="s">
        <v>32</v>
      </c>
      <c r="B6" s="88">
        <v>1</v>
      </c>
      <c r="C6" s="99">
        <v>0.22916666666666666</v>
      </c>
      <c r="D6" s="99">
        <v>2.0833333333333332E-2</v>
      </c>
      <c r="E6" s="100">
        <v>19</v>
      </c>
      <c r="F6" s="100">
        <v>60</v>
      </c>
      <c r="G6" s="100">
        <v>15</v>
      </c>
      <c r="H6" s="100">
        <f>E6*I6</f>
        <v>76</v>
      </c>
      <c r="I6" s="88">
        <f>F6/G6</f>
        <v>4</v>
      </c>
      <c r="J6" s="94">
        <v>1</v>
      </c>
      <c r="K6" s="95">
        <v>0.22916666666666666</v>
      </c>
      <c r="L6" s="95">
        <v>2.0833333333333332E-2</v>
      </c>
      <c r="M6" s="96">
        <v>19</v>
      </c>
      <c r="N6" s="96">
        <v>60</v>
      </c>
      <c r="O6" s="96">
        <v>30</v>
      </c>
      <c r="P6" s="96">
        <f>M6*Q6</f>
        <v>38</v>
      </c>
      <c r="Q6" s="94">
        <f>N6/O6</f>
        <v>2</v>
      </c>
      <c r="R6" s="86">
        <f>H6*K27</f>
        <v>19380</v>
      </c>
      <c r="S6" s="86">
        <f>P6*L27</f>
        <v>3952</v>
      </c>
      <c r="T6" s="101">
        <f>SUM(H6*K27)+(P6*L27)</f>
        <v>23332</v>
      </c>
    </row>
    <row r="7" spans="1:20" x14ac:dyDescent="0.25">
      <c r="A7" s="88" t="s">
        <v>33</v>
      </c>
      <c r="B7" s="88">
        <v>1</v>
      </c>
      <c r="C7" s="99">
        <v>0.22916666666666666</v>
      </c>
      <c r="D7" s="99">
        <v>2.0833333333333332E-2</v>
      </c>
      <c r="E7" s="100">
        <v>19</v>
      </c>
      <c r="F7" s="100">
        <v>60</v>
      </c>
      <c r="G7" s="100">
        <v>15</v>
      </c>
      <c r="H7" s="100">
        <f t="shared" ref="H7:H10" si="0">E7*I7</f>
        <v>76</v>
      </c>
      <c r="I7" s="88">
        <f t="shared" ref="I7:I24" si="1">F7/G7</f>
        <v>4</v>
      </c>
      <c r="J7" s="94">
        <v>1</v>
      </c>
      <c r="K7" s="95">
        <v>0.22916666666666666</v>
      </c>
      <c r="L7" s="95">
        <v>2.0833333333333332E-2</v>
      </c>
      <c r="M7" s="96">
        <v>19</v>
      </c>
      <c r="N7" s="96">
        <v>60</v>
      </c>
      <c r="O7" s="96">
        <v>30</v>
      </c>
      <c r="P7" s="96">
        <f t="shared" ref="P7:P24" si="2">M7*Q7</f>
        <v>38</v>
      </c>
      <c r="Q7" s="94">
        <f t="shared" ref="Q7:Q24" si="3">N7/O7</f>
        <v>2</v>
      </c>
      <c r="R7" s="86">
        <f>H7*K27</f>
        <v>19380</v>
      </c>
      <c r="S7" s="86">
        <f>P7*L27</f>
        <v>3952</v>
      </c>
      <c r="T7" s="101">
        <f>SUM(H7*K27)+(P7*L27)</f>
        <v>23332</v>
      </c>
    </row>
    <row r="8" spans="1:20" x14ac:dyDescent="0.25">
      <c r="A8" s="88" t="s">
        <v>34</v>
      </c>
      <c r="B8" s="88">
        <v>1</v>
      </c>
      <c r="C8" s="99">
        <v>0.22916666666666666</v>
      </c>
      <c r="D8" s="99">
        <v>2.0833333333333332E-2</v>
      </c>
      <c r="E8" s="100">
        <v>19</v>
      </c>
      <c r="F8" s="100">
        <v>60</v>
      </c>
      <c r="G8" s="100">
        <v>15</v>
      </c>
      <c r="H8" s="100">
        <f t="shared" si="0"/>
        <v>76</v>
      </c>
      <c r="I8" s="88">
        <f t="shared" si="1"/>
        <v>4</v>
      </c>
      <c r="J8" s="94">
        <v>1</v>
      </c>
      <c r="K8" s="95">
        <v>0.22916666666666666</v>
      </c>
      <c r="L8" s="95">
        <v>2.0833333333333332E-2</v>
      </c>
      <c r="M8" s="96">
        <v>19</v>
      </c>
      <c r="N8" s="96">
        <v>60</v>
      </c>
      <c r="O8" s="96">
        <v>30</v>
      </c>
      <c r="P8" s="96">
        <f t="shared" si="2"/>
        <v>38</v>
      </c>
      <c r="Q8" s="94">
        <f t="shared" si="3"/>
        <v>2</v>
      </c>
      <c r="R8" s="86">
        <f>H8*K27</f>
        <v>19380</v>
      </c>
      <c r="S8" s="86">
        <f>P8*L27</f>
        <v>3952</v>
      </c>
      <c r="T8" s="101">
        <f>SUM(H8*K27)+(P8*L27)</f>
        <v>23332</v>
      </c>
    </row>
    <row r="9" spans="1:20" x14ac:dyDescent="0.25">
      <c r="A9" s="88" t="s">
        <v>35</v>
      </c>
      <c r="B9" s="88">
        <v>1</v>
      </c>
      <c r="C9" s="99">
        <v>0.22916666666666666</v>
      </c>
      <c r="D9" s="99">
        <v>2.0833333333333332E-2</v>
      </c>
      <c r="E9" s="100">
        <v>19</v>
      </c>
      <c r="F9" s="100">
        <v>60</v>
      </c>
      <c r="G9" s="100">
        <v>15</v>
      </c>
      <c r="H9" s="100">
        <f t="shared" si="0"/>
        <v>76</v>
      </c>
      <c r="I9" s="88">
        <f t="shared" si="1"/>
        <v>4</v>
      </c>
      <c r="J9" s="94">
        <v>1</v>
      </c>
      <c r="K9" s="95">
        <v>0.22916666666666666</v>
      </c>
      <c r="L9" s="95">
        <v>2.0833333333333332E-2</v>
      </c>
      <c r="M9" s="96">
        <v>19</v>
      </c>
      <c r="N9" s="96">
        <v>60</v>
      </c>
      <c r="O9" s="96">
        <v>30</v>
      </c>
      <c r="P9" s="96">
        <f t="shared" si="2"/>
        <v>38</v>
      </c>
      <c r="Q9" s="94">
        <f t="shared" si="3"/>
        <v>2</v>
      </c>
      <c r="R9" s="86">
        <f>H9*K27</f>
        <v>19380</v>
      </c>
      <c r="S9" s="86">
        <f>P9*L27</f>
        <v>3952</v>
      </c>
      <c r="T9" s="101">
        <f>SUM(H9*K27)+(P9*L27)</f>
        <v>23332</v>
      </c>
    </row>
    <row r="10" spans="1:20" x14ac:dyDescent="0.25">
      <c r="A10" s="88" t="s">
        <v>36</v>
      </c>
      <c r="B10" s="88">
        <v>1</v>
      </c>
      <c r="C10" s="99">
        <v>0.22916666666666666</v>
      </c>
      <c r="D10" s="99">
        <v>2.0833333333333332E-2</v>
      </c>
      <c r="E10" s="100">
        <v>19</v>
      </c>
      <c r="F10" s="100">
        <v>60</v>
      </c>
      <c r="G10" s="100">
        <v>15</v>
      </c>
      <c r="H10" s="100">
        <f t="shared" si="0"/>
        <v>76</v>
      </c>
      <c r="I10" s="88">
        <f t="shared" si="1"/>
        <v>4</v>
      </c>
      <c r="J10" s="94">
        <v>1</v>
      </c>
      <c r="K10" s="95">
        <v>0.22916666666666666</v>
      </c>
      <c r="L10" s="95">
        <v>2.0833333333333332E-2</v>
      </c>
      <c r="M10" s="96">
        <v>19</v>
      </c>
      <c r="N10" s="96">
        <v>60</v>
      </c>
      <c r="O10" s="96">
        <v>30</v>
      </c>
      <c r="P10" s="96">
        <f t="shared" si="2"/>
        <v>38</v>
      </c>
      <c r="Q10" s="94">
        <f t="shared" si="3"/>
        <v>2</v>
      </c>
      <c r="R10" s="86">
        <f>H10*K27</f>
        <v>19380</v>
      </c>
      <c r="S10" s="86">
        <f>P10*L27</f>
        <v>3952</v>
      </c>
      <c r="T10" s="101">
        <f>SUM(H10*K27)+(P10*L27)</f>
        <v>23332</v>
      </c>
    </row>
    <row r="11" spans="1:20" x14ac:dyDescent="0.25">
      <c r="A11" s="88" t="s">
        <v>37</v>
      </c>
      <c r="B11" s="88">
        <v>1</v>
      </c>
      <c r="C11" s="99">
        <v>0.22916666666666666</v>
      </c>
      <c r="D11" s="99">
        <v>2.0833333333333332E-2</v>
      </c>
      <c r="E11" s="100">
        <v>19</v>
      </c>
      <c r="F11" s="100">
        <v>60</v>
      </c>
      <c r="G11" s="100">
        <v>15</v>
      </c>
      <c r="H11" s="100">
        <f>E11*I11</f>
        <v>76</v>
      </c>
      <c r="I11" s="88">
        <f t="shared" si="1"/>
        <v>4</v>
      </c>
      <c r="J11" s="94">
        <v>1</v>
      </c>
      <c r="K11" s="95">
        <v>0.22916666666666666</v>
      </c>
      <c r="L11" s="95">
        <v>2.0833333333333332E-2</v>
      </c>
      <c r="M11" s="96">
        <v>19</v>
      </c>
      <c r="N11" s="96">
        <v>60</v>
      </c>
      <c r="O11" s="96">
        <v>30</v>
      </c>
      <c r="P11" s="96">
        <f t="shared" si="2"/>
        <v>38</v>
      </c>
      <c r="Q11" s="94">
        <f t="shared" si="3"/>
        <v>2</v>
      </c>
      <c r="R11" s="86">
        <f>H11*K27</f>
        <v>19380</v>
      </c>
      <c r="S11" s="86">
        <f>P11*L27</f>
        <v>3952</v>
      </c>
      <c r="T11" s="101">
        <f>SUM(H11*K27)+(P11*L27)</f>
        <v>23332</v>
      </c>
    </row>
    <row r="12" spans="1:20" x14ac:dyDescent="0.25">
      <c r="A12" s="88" t="s">
        <v>45</v>
      </c>
      <c r="B12" s="88">
        <v>1</v>
      </c>
      <c r="C12" s="99">
        <v>0.1875</v>
      </c>
      <c r="D12" s="99">
        <v>0.10416666666666667</v>
      </c>
      <c r="E12" s="100">
        <v>22</v>
      </c>
      <c r="F12" s="100">
        <v>60</v>
      </c>
      <c r="G12" s="100">
        <v>15</v>
      </c>
      <c r="H12" s="100">
        <f>E12*I12</f>
        <v>88</v>
      </c>
      <c r="I12" s="88">
        <f t="shared" si="1"/>
        <v>4</v>
      </c>
      <c r="J12" s="94">
        <v>1</v>
      </c>
      <c r="K12" s="95">
        <v>0.1875</v>
      </c>
      <c r="L12" s="95">
        <v>0.10416666666666667</v>
      </c>
      <c r="M12" s="96">
        <v>22</v>
      </c>
      <c r="N12" s="96">
        <v>60</v>
      </c>
      <c r="O12" s="96">
        <v>30</v>
      </c>
      <c r="P12" s="96">
        <f t="shared" si="2"/>
        <v>44</v>
      </c>
      <c r="Q12" s="94">
        <f t="shared" si="3"/>
        <v>2</v>
      </c>
      <c r="R12" s="86">
        <f>H12*K27</f>
        <v>22440</v>
      </c>
      <c r="S12" s="86">
        <f>P12*L27</f>
        <v>4576</v>
      </c>
      <c r="T12" s="101">
        <f>SUM(H12*K27)+(P12*L27)</f>
        <v>27016</v>
      </c>
    </row>
    <row r="13" spans="1:20" x14ac:dyDescent="0.25">
      <c r="A13" s="88" t="s">
        <v>38</v>
      </c>
      <c r="B13" s="88">
        <v>7</v>
      </c>
      <c r="C13" s="99">
        <v>0.22916666666666666</v>
      </c>
      <c r="D13" s="99">
        <v>2.0833333333333332E-2</v>
      </c>
      <c r="E13" s="100">
        <v>19</v>
      </c>
      <c r="F13" s="100">
        <v>120</v>
      </c>
      <c r="G13" s="100">
        <v>15</v>
      </c>
      <c r="H13" s="100">
        <f t="shared" ref="H13:H24" si="4">E13*I13</f>
        <v>152</v>
      </c>
      <c r="I13" s="88">
        <f t="shared" si="1"/>
        <v>8</v>
      </c>
      <c r="J13" s="94">
        <v>7</v>
      </c>
      <c r="K13" s="95">
        <v>0.22916666666666666</v>
      </c>
      <c r="L13" s="95">
        <v>2.0833333333333332E-2</v>
      </c>
      <c r="M13" s="96">
        <v>19</v>
      </c>
      <c r="N13" s="96">
        <v>120</v>
      </c>
      <c r="O13" s="96">
        <v>30</v>
      </c>
      <c r="P13" s="96">
        <f t="shared" si="2"/>
        <v>76</v>
      </c>
      <c r="Q13" s="94">
        <f t="shared" si="3"/>
        <v>4</v>
      </c>
      <c r="R13" s="86">
        <f>H13*K27</f>
        <v>38760</v>
      </c>
      <c r="S13" s="86">
        <f>P13*L27</f>
        <v>7904</v>
      </c>
      <c r="T13" s="101">
        <f>SUM(H13*K27)+(P13*L27)</f>
        <v>46664</v>
      </c>
    </row>
    <row r="14" spans="1:20" x14ac:dyDescent="0.25">
      <c r="A14" s="88" t="s">
        <v>27</v>
      </c>
      <c r="B14" s="88">
        <v>7</v>
      </c>
      <c r="C14" s="99">
        <v>0.22916666666666699</v>
      </c>
      <c r="D14" s="99">
        <v>2.0833333333333301E-2</v>
      </c>
      <c r="E14" s="100">
        <v>19</v>
      </c>
      <c r="F14" s="100">
        <v>60</v>
      </c>
      <c r="G14" s="100">
        <v>15</v>
      </c>
      <c r="H14" s="100">
        <f t="shared" si="4"/>
        <v>76</v>
      </c>
      <c r="I14" s="88">
        <f t="shared" si="1"/>
        <v>4</v>
      </c>
      <c r="J14" s="94">
        <v>7</v>
      </c>
      <c r="K14" s="95">
        <v>0.22916666666666666</v>
      </c>
      <c r="L14" s="95">
        <v>2.0833333333333332E-2</v>
      </c>
      <c r="M14" s="96">
        <v>19</v>
      </c>
      <c r="N14" s="96">
        <v>60</v>
      </c>
      <c r="O14" s="96">
        <v>30</v>
      </c>
      <c r="P14" s="96">
        <f t="shared" si="2"/>
        <v>38</v>
      </c>
      <c r="Q14" s="94">
        <f t="shared" si="3"/>
        <v>2</v>
      </c>
      <c r="R14" s="86">
        <f>H14*K27</f>
        <v>19380</v>
      </c>
      <c r="S14" s="86">
        <f>P14*L27</f>
        <v>3952</v>
      </c>
      <c r="T14" s="101">
        <f>SUM(H14*K27)+(P14*L27)</f>
        <v>23332</v>
      </c>
    </row>
    <row r="15" spans="1:20" x14ac:dyDescent="0.25">
      <c r="A15" s="88" t="s">
        <v>28</v>
      </c>
      <c r="B15" s="88">
        <v>7</v>
      </c>
      <c r="C15" s="99">
        <v>0.22916666666666699</v>
      </c>
      <c r="D15" s="99">
        <v>2.0833333333333301E-2</v>
      </c>
      <c r="E15" s="100">
        <v>19</v>
      </c>
      <c r="F15" s="100">
        <v>30</v>
      </c>
      <c r="G15" s="100">
        <v>15</v>
      </c>
      <c r="H15" s="100">
        <f t="shared" si="4"/>
        <v>38</v>
      </c>
      <c r="I15" s="88">
        <f t="shared" si="1"/>
        <v>2</v>
      </c>
      <c r="J15" s="94">
        <v>7</v>
      </c>
      <c r="K15" s="95">
        <v>0.22916666666666666</v>
      </c>
      <c r="L15" s="95">
        <v>2.0833333333333332E-2</v>
      </c>
      <c r="M15" s="96">
        <v>19</v>
      </c>
      <c r="N15" s="96">
        <v>30</v>
      </c>
      <c r="O15" s="96">
        <v>15</v>
      </c>
      <c r="P15" s="96">
        <f t="shared" si="2"/>
        <v>38</v>
      </c>
      <c r="Q15" s="94">
        <f t="shared" si="3"/>
        <v>2</v>
      </c>
      <c r="R15" s="86">
        <f>H15*K27</f>
        <v>9690</v>
      </c>
      <c r="S15" s="86">
        <f>P15*L27</f>
        <v>3952</v>
      </c>
      <c r="T15" s="101">
        <f>SUM(H15*K27)+(P15*L27)</f>
        <v>13642</v>
      </c>
    </row>
    <row r="16" spans="1:20" x14ac:dyDescent="0.25">
      <c r="A16" s="88" t="s">
        <v>29</v>
      </c>
      <c r="B16" s="88">
        <v>7</v>
      </c>
      <c r="C16" s="99">
        <v>0.22916666666666699</v>
      </c>
      <c r="D16" s="99">
        <v>2.0833333333333301E-2</v>
      </c>
      <c r="E16" s="100">
        <v>19</v>
      </c>
      <c r="F16" s="100">
        <v>60</v>
      </c>
      <c r="G16" s="100">
        <v>15</v>
      </c>
      <c r="H16" s="100">
        <f t="shared" si="4"/>
        <v>76</v>
      </c>
      <c r="I16" s="88">
        <f t="shared" si="1"/>
        <v>4</v>
      </c>
      <c r="J16" s="94">
        <v>7</v>
      </c>
      <c r="K16" s="95">
        <v>0.22916666666666666</v>
      </c>
      <c r="L16" s="95">
        <v>2.0833333333333332E-2</v>
      </c>
      <c r="M16" s="96">
        <v>19</v>
      </c>
      <c r="N16" s="96">
        <v>60</v>
      </c>
      <c r="O16" s="96">
        <v>30</v>
      </c>
      <c r="P16" s="96">
        <f t="shared" si="2"/>
        <v>38</v>
      </c>
      <c r="Q16" s="94">
        <f t="shared" si="3"/>
        <v>2</v>
      </c>
      <c r="R16" s="86">
        <f>H16*K27</f>
        <v>19380</v>
      </c>
      <c r="S16" s="86">
        <f>P16*L27</f>
        <v>3952</v>
      </c>
      <c r="T16" s="101">
        <f>SUM(H16*K27)+(P16*L27)</f>
        <v>23332</v>
      </c>
    </row>
    <row r="17" spans="1:20" x14ac:dyDescent="0.25">
      <c r="A17" s="88" t="s">
        <v>30</v>
      </c>
      <c r="B17" s="88">
        <v>7</v>
      </c>
      <c r="C17" s="99">
        <v>0.22916666666666699</v>
      </c>
      <c r="D17" s="99">
        <v>2.0833333333333301E-2</v>
      </c>
      <c r="E17" s="100">
        <v>19</v>
      </c>
      <c r="F17" s="100">
        <v>60</v>
      </c>
      <c r="G17" s="100">
        <v>15</v>
      </c>
      <c r="H17" s="100">
        <f t="shared" si="4"/>
        <v>76</v>
      </c>
      <c r="I17" s="88">
        <f t="shared" si="1"/>
        <v>4</v>
      </c>
      <c r="J17" s="94">
        <v>7</v>
      </c>
      <c r="K17" s="95">
        <v>0.22916666666666666</v>
      </c>
      <c r="L17" s="95">
        <v>2.0833333333333332E-2</v>
      </c>
      <c r="M17" s="96">
        <v>19</v>
      </c>
      <c r="N17" s="96">
        <v>60</v>
      </c>
      <c r="O17" s="96">
        <v>30</v>
      </c>
      <c r="P17" s="96">
        <f t="shared" si="2"/>
        <v>38</v>
      </c>
      <c r="Q17" s="94">
        <f t="shared" si="3"/>
        <v>2</v>
      </c>
      <c r="R17" s="86">
        <f>H17*K27</f>
        <v>19380</v>
      </c>
      <c r="S17" s="86">
        <f>P17*L27</f>
        <v>3952</v>
      </c>
      <c r="T17" s="101">
        <f>SUM(H17*K27)+(P17*L27)</f>
        <v>23332</v>
      </c>
    </row>
    <row r="18" spans="1:20" x14ac:dyDescent="0.25">
      <c r="A18" s="88" t="s">
        <v>39</v>
      </c>
      <c r="B18" s="88">
        <v>7</v>
      </c>
      <c r="C18" s="99">
        <v>0.22916666666666699</v>
      </c>
      <c r="D18" s="99">
        <v>2.0833333333333301E-2</v>
      </c>
      <c r="E18" s="100">
        <v>19</v>
      </c>
      <c r="F18" s="100">
        <v>60</v>
      </c>
      <c r="G18" s="100">
        <v>15</v>
      </c>
      <c r="H18" s="100">
        <f t="shared" si="4"/>
        <v>76</v>
      </c>
      <c r="I18" s="88">
        <f t="shared" si="1"/>
        <v>4</v>
      </c>
      <c r="J18" s="94">
        <v>7</v>
      </c>
      <c r="K18" s="95">
        <v>0.22916666666666666</v>
      </c>
      <c r="L18" s="95">
        <v>2.0833333333333332E-2</v>
      </c>
      <c r="M18" s="96">
        <v>19</v>
      </c>
      <c r="N18" s="96">
        <v>60</v>
      </c>
      <c r="O18" s="96">
        <v>30</v>
      </c>
      <c r="P18" s="96">
        <f t="shared" si="2"/>
        <v>38</v>
      </c>
      <c r="Q18" s="94">
        <f t="shared" si="3"/>
        <v>2</v>
      </c>
      <c r="R18" s="86">
        <f>H18*K27</f>
        <v>19380</v>
      </c>
      <c r="S18" s="86">
        <f>P18*L27</f>
        <v>3952</v>
      </c>
      <c r="T18" s="101">
        <f>SUM(H18*K27)+(P18*L27)</f>
        <v>23332</v>
      </c>
    </row>
    <row r="19" spans="1:20" x14ac:dyDescent="0.25">
      <c r="A19" s="88" t="s">
        <v>44</v>
      </c>
      <c r="B19" s="88">
        <v>7</v>
      </c>
      <c r="C19" s="99">
        <v>0.22916666666666699</v>
      </c>
      <c r="D19" s="99">
        <v>2.0833333333333301E-2</v>
      </c>
      <c r="E19" s="100">
        <v>19</v>
      </c>
      <c r="F19" s="100">
        <v>90</v>
      </c>
      <c r="G19" s="100">
        <v>15</v>
      </c>
      <c r="H19" s="100">
        <f t="shared" si="4"/>
        <v>114</v>
      </c>
      <c r="I19" s="88">
        <f t="shared" si="1"/>
        <v>6</v>
      </c>
      <c r="J19" s="94">
        <v>7</v>
      </c>
      <c r="K19" s="95">
        <v>0.22916666666666666</v>
      </c>
      <c r="L19" s="95">
        <v>2.0833333333333332E-2</v>
      </c>
      <c r="M19" s="96">
        <v>19</v>
      </c>
      <c r="N19" s="96">
        <v>90</v>
      </c>
      <c r="O19" s="96">
        <v>15</v>
      </c>
      <c r="P19" s="96">
        <f t="shared" si="2"/>
        <v>114</v>
      </c>
      <c r="Q19" s="94">
        <f t="shared" si="3"/>
        <v>6</v>
      </c>
      <c r="R19" s="86">
        <f>H19*K27</f>
        <v>29070</v>
      </c>
      <c r="S19" s="86">
        <f>P19*L27</f>
        <v>11856</v>
      </c>
      <c r="T19" s="101">
        <f>SUM(H19*K27)+(P19*L27)</f>
        <v>40926</v>
      </c>
    </row>
    <row r="20" spans="1:20" x14ac:dyDescent="0.25">
      <c r="A20" s="88" t="s">
        <v>40</v>
      </c>
      <c r="B20" s="88">
        <v>7</v>
      </c>
      <c r="C20" s="99">
        <v>0.22916666666666699</v>
      </c>
      <c r="D20" s="99">
        <v>2.0833333333333301E-2</v>
      </c>
      <c r="E20" s="100">
        <v>19</v>
      </c>
      <c r="F20" s="100">
        <v>60</v>
      </c>
      <c r="G20" s="100">
        <v>15</v>
      </c>
      <c r="H20" s="100">
        <f t="shared" si="4"/>
        <v>76</v>
      </c>
      <c r="I20" s="88">
        <f t="shared" si="1"/>
        <v>4</v>
      </c>
      <c r="J20" s="94">
        <v>7</v>
      </c>
      <c r="K20" s="95">
        <v>0.22916666666666666</v>
      </c>
      <c r="L20" s="95">
        <v>2.0833333333333332E-2</v>
      </c>
      <c r="M20" s="96">
        <v>19</v>
      </c>
      <c r="N20" s="96">
        <v>60</v>
      </c>
      <c r="O20" s="96">
        <v>30</v>
      </c>
      <c r="P20" s="96">
        <f t="shared" si="2"/>
        <v>38</v>
      </c>
      <c r="Q20" s="94">
        <f t="shared" si="3"/>
        <v>2</v>
      </c>
      <c r="R20" s="86">
        <f>H20*K27</f>
        <v>19380</v>
      </c>
      <c r="S20" s="86">
        <f>P20*L27</f>
        <v>3952</v>
      </c>
      <c r="T20" s="101">
        <f>SUM(H20*K27)+(P20*L27)</f>
        <v>23332</v>
      </c>
    </row>
    <row r="21" spans="1:20" x14ac:dyDescent="0.25">
      <c r="A21" s="88" t="s">
        <v>41</v>
      </c>
      <c r="B21" s="88">
        <v>12</v>
      </c>
      <c r="C21" s="99">
        <v>0.22916666666666699</v>
      </c>
      <c r="D21" s="99">
        <v>2.0833333333333301E-2</v>
      </c>
      <c r="E21" s="100">
        <v>19</v>
      </c>
      <c r="F21" s="100">
        <v>60</v>
      </c>
      <c r="G21" s="100">
        <v>15</v>
      </c>
      <c r="H21" s="100">
        <f t="shared" si="4"/>
        <v>76</v>
      </c>
      <c r="I21" s="88">
        <f t="shared" si="1"/>
        <v>4</v>
      </c>
      <c r="J21" s="94">
        <v>12</v>
      </c>
      <c r="K21" s="95">
        <v>0.22916666666666666</v>
      </c>
      <c r="L21" s="95">
        <v>2.0833333333333332E-2</v>
      </c>
      <c r="M21" s="96">
        <v>19</v>
      </c>
      <c r="N21" s="96">
        <v>60</v>
      </c>
      <c r="O21" s="96">
        <v>30</v>
      </c>
      <c r="P21" s="96">
        <f t="shared" si="2"/>
        <v>38</v>
      </c>
      <c r="Q21" s="94">
        <f t="shared" si="3"/>
        <v>2</v>
      </c>
      <c r="R21" s="86">
        <f>H21*K27</f>
        <v>19380</v>
      </c>
      <c r="S21" s="86">
        <f>P21*L27</f>
        <v>3952</v>
      </c>
      <c r="T21" s="101">
        <f>SUM(H21*K27)+(P21*L27)</f>
        <v>23332</v>
      </c>
    </row>
    <row r="22" spans="1:20" x14ac:dyDescent="0.25">
      <c r="A22" s="88" t="s">
        <v>42</v>
      </c>
      <c r="B22" s="88">
        <v>12</v>
      </c>
      <c r="C22" s="99">
        <v>0.22916666666666699</v>
      </c>
      <c r="D22" s="99">
        <v>2.0833333333333301E-2</v>
      </c>
      <c r="E22" s="100">
        <v>19</v>
      </c>
      <c r="F22" s="100">
        <v>120</v>
      </c>
      <c r="G22" s="100">
        <v>15</v>
      </c>
      <c r="H22" s="100">
        <f t="shared" si="4"/>
        <v>152</v>
      </c>
      <c r="I22" s="88">
        <f t="shared" si="1"/>
        <v>8</v>
      </c>
      <c r="J22" s="94">
        <v>12</v>
      </c>
      <c r="K22" s="95">
        <v>0.22916666666666666</v>
      </c>
      <c r="L22" s="95">
        <v>2.0833333333333332E-2</v>
      </c>
      <c r="M22" s="96">
        <v>19</v>
      </c>
      <c r="N22" s="96">
        <v>60</v>
      </c>
      <c r="O22" s="96">
        <v>30</v>
      </c>
      <c r="P22" s="96">
        <f t="shared" si="2"/>
        <v>38</v>
      </c>
      <c r="Q22" s="94">
        <f t="shared" si="3"/>
        <v>2</v>
      </c>
      <c r="R22" s="86">
        <f>H22*K27</f>
        <v>38760</v>
      </c>
      <c r="S22" s="86">
        <f>P22*L27</f>
        <v>3952</v>
      </c>
      <c r="T22" s="101">
        <f>SUM(H22*K27)+(P22*L27)</f>
        <v>42712</v>
      </c>
    </row>
    <row r="23" spans="1:20" x14ac:dyDescent="0.25">
      <c r="A23" s="88" t="s">
        <v>46</v>
      </c>
      <c r="B23" s="88">
        <v>12</v>
      </c>
      <c r="C23" s="99">
        <v>0.22916666666666699</v>
      </c>
      <c r="D23" s="99">
        <v>2.0833333333333301E-2</v>
      </c>
      <c r="E23" s="100">
        <v>19</v>
      </c>
      <c r="F23" s="100">
        <v>90</v>
      </c>
      <c r="G23" s="100">
        <v>45</v>
      </c>
      <c r="H23" s="100">
        <f t="shared" si="4"/>
        <v>38</v>
      </c>
      <c r="I23" s="88">
        <f t="shared" si="1"/>
        <v>2</v>
      </c>
      <c r="J23" s="94">
        <v>12</v>
      </c>
      <c r="K23" s="95">
        <v>0.22916666666666666</v>
      </c>
      <c r="L23" s="95">
        <v>2.0833333333333332E-2</v>
      </c>
      <c r="M23" s="96">
        <v>19</v>
      </c>
      <c r="N23" s="96">
        <v>90</v>
      </c>
      <c r="O23" s="96">
        <v>90</v>
      </c>
      <c r="P23" s="96">
        <f t="shared" si="2"/>
        <v>19</v>
      </c>
      <c r="Q23" s="94">
        <f t="shared" si="3"/>
        <v>1</v>
      </c>
      <c r="R23" s="86">
        <f>H23*K27</f>
        <v>9690</v>
      </c>
      <c r="S23" s="86">
        <f>P23*L27</f>
        <v>1976</v>
      </c>
      <c r="T23" s="101">
        <f>SUM(H23*K27)+(P23*L30)</f>
        <v>9690</v>
      </c>
    </row>
    <row r="24" spans="1:20" x14ac:dyDescent="0.25">
      <c r="A24" s="88" t="s">
        <v>47</v>
      </c>
      <c r="B24" s="88">
        <v>12</v>
      </c>
      <c r="C24" s="99">
        <v>0.1875</v>
      </c>
      <c r="D24" s="99" t="s">
        <v>124</v>
      </c>
      <c r="E24" s="100">
        <v>22</v>
      </c>
      <c r="F24" s="100">
        <v>90</v>
      </c>
      <c r="G24" s="100">
        <v>15</v>
      </c>
      <c r="H24" s="100">
        <f t="shared" si="4"/>
        <v>132</v>
      </c>
      <c r="I24" s="88">
        <f t="shared" si="1"/>
        <v>6</v>
      </c>
      <c r="J24" s="94">
        <v>12</v>
      </c>
      <c r="K24" s="95">
        <v>0.1875</v>
      </c>
      <c r="L24" s="95">
        <v>0.10416666666666667</v>
      </c>
      <c r="M24" s="96">
        <v>22</v>
      </c>
      <c r="N24" s="96">
        <v>90</v>
      </c>
      <c r="O24" s="96">
        <v>30</v>
      </c>
      <c r="P24" s="96">
        <f t="shared" si="2"/>
        <v>66</v>
      </c>
      <c r="Q24" s="94">
        <f t="shared" si="3"/>
        <v>3</v>
      </c>
      <c r="R24" s="86">
        <f>H24*K27</f>
        <v>33660</v>
      </c>
      <c r="S24" s="86">
        <f>P24*L27</f>
        <v>6864</v>
      </c>
      <c r="T24" s="101">
        <f>SUM(H24*K27)+(P24*L27)</f>
        <v>40524</v>
      </c>
    </row>
    <row r="25" spans="1:20" x14ac:dyDescent="0.25">
      <c r="I25" s="86">
        <f>SUM(I5:I24)</f>
        <v>88</v>
      </c>
      <c r="Q25" s="86">
        <f>SUM(Q5:Q24)</f>
        <v>46</v>
      </c>
      <c r="R25" s="86">
        <f>SUM(R5:R24)</f>
        <v>434010</v>
      </c>
      <c r="S25" s="86">
        <f>SUM(S5:S20)</f>
        <v>75712</v>
      </c>
      <c r="T25" s="102">
        <f>SUM(T5:T24)</f>
        <v>524490</v>
      </c>
    </row>
    <row r="26" spans="1:20" ht="45" x14ac:dyDescent="0.25">
      <c r="K26" s="101" t="s">
        <v>104</v>
      </c>
      <c r="L26" s="101" t="s">
        <v>105</v>
      </c>
    </row>
    <row r="27" spans="1:20" x14ac:dyDescent="0.25">
      <c r="K27" s="101">
        <v>255</v>
      </c>
      <c r="L27" s="101">
        <v>104</v>
      </c>
    </row>
    <row r="29" spans="1:20" x14ac:dyDescent="0.25">
      <c r="J29" s="83" t="s">
        <v>125</v>
      </c>
      <c r="K29" s="103">
        <v>88.95</v>
      </c>
    </row>
    <row r="30" spans="1:20" x14ac:dyDescent="0.25">
      <c r="J30" s="84" t="s">
        <v>126</v>
      </c>
      <c r="K30" s="104">
        <v>90.91</v>
      </c>
    </row>
    <row r="31" spans="1:20" x14ac:dyDescent="0.25">
      <c r="J31" s="84" t="s">
        <v>127</v>
      </c>
      <c r="K31" s="104">
        <v>92.91</v>
      </c>
    </row>
    <row r="32" spans="1:20" x14ac:dyDescent="0.25">
      <c r="J32" s="84" t="s">
        <v>128</v>
      </c>
      <c r="K32" s="104">
        <v>94.95</v>
      </c>
    </row>
  </sheetData>
  <mergeCells count="2">
    <mergeCell ref="B3:I3"/>
    <mergeCell ref="J3:Q3"/>
  </mergeCells>
  <pageMargins left="0.7" right="0.7" top="0.75" bottom="0.75" header="0.3" footer="0.3"/>
  <pageSetup orientation="portrait" r:id="rId1"/>
  <ignoredErrors>
    <ignoredError sqref="T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6"/>
  <sheetViews>
    <sheetView topLeftCell="A3" workbookViewId="0">
      <selection activeCell="A17" sqref="A17"/>
    </sheetView>
  </sheetViews>
  <sheetFormatPr defaultColWidth="11.5703125" defaultRowHeight="15" x14ac:dyDescent="0.25"/>
  <cols>
    <col min="1" max="1" width="20.85546875" style="82" bestFit="1" customWidth="1"/>
    <col min="2" max="4" width="11.5703125" style="82"/>
    <col min="5" max="5" width="9.140625" style="82" bestFit="1" customWidth="1"/>
    <col min="6" max="17" width="11.5703125" style="82"/>
    <col min="18" max="19" width="11.5703125" style="89"/>
    <col min="20" max="20" width="15.140625" style="82" bestFit="1" customWidth="1"/>
    <col min="21" max="16384" width="11.5703125" style="82"/>
  </cols>
  <sheetData>
    <row r="3" spans="1:20" ht="14.45" customHeight="1" x14ac:dyDescent="0.25">
      <c r="A3" s="4"/>
      <c r="B3" s="143" t="s">
        <v>94</v>
      </c>
      <c r="C3" s="143"/>
      <c r="D3" s="143"/>
      <c r="E3" s="143"/>
      <c r="F3" s="143"/>
      <c r="G3" s="143"/>
      <c r="H3" s="143"/>
      <c r="I3" s="143"/>
      <c r="J3" s="144" t="s">
        <v>103</v>
      </c>
      <c r="K3" s="144"/>
      <c r="L3" s="144"/>
      <c r="M3" s="144"/>
      <c r="N3" s="144"/>
      <c r="O3" s="144"/>
      <c r="P3" s="144"/>
      <c r="Q3" s="144"/>
      <c r="R3" s="91"/>
      <c r="S3" s="91"/>
    </row>
    <row r="4" spans="1:20" ht="57" customHeight="1" thickBot="1" x14ac:dyDescent="0.3">
      <c r="A4" s="97" t="s">
        <v>73</v>
      </c>
      <c r="B4" s="98" t="s">
        <v>100</v>
      </c>
      <c r="C4" s="97" t="s">
        <v>95</v>
      </c>
      <c r="D4" s="97" t="s">
        <v>96</v>
      </c>
      <c r="E4" s="97" t="s">
        <v>101</v>
      </c>
      <c r="F4" s="97" t="s">
        <v>97</v>
      </c>
      <c r="G4" s="97" t="s">
        <v>98</v>
      </c>
      <c r="H4" s="97" t="s">
        <v>99</v>
      </c>
      <c r="I4" s="97" t="s">
        <v>102</v>
      </c>
      <c r="J4" s="92" t="s">
        <v>100</v>
      </c>
      <c r="K4" s="93" t="s">
        <v>95</v>
      </c>
      <c r="L4" s="93" t="s">
        <v>96</v>
      </c>
      <c r="M4" s="93" t="s">
        <v>101</v>
      </c>
      <c r="N4" s="93" t="s">
        <v>97</v>
      </c>
      <c r="O4" s="93" t="s">
        <v>98</v>
      </c>
      <c r="P4" s="93" t="s">
        <v>99</v>
      </c>
      <c r="Q4" s="93" t="s">
        <v>102</v>
      </c>
      <c r="R4" s="90" t="s">
        <v>107</v>
      </c>
      <c r="S4" s="90" t="s">
        <v>108</v>
      </c>
      <c r="T4" s="90" t="s">
        <v>106</v>
      </c>
    </row>
    <row r="5" spans="1:20" ht="15.75" thickTop="1" x14ac:dyDescent="0.25">
      <c r="A5" s="88" t="s">
        <v>31</v>
      </c>
      <c r="B5" s="88">
        <v>1</v>
      </c>
      <c r="C5" s="99">
        <v>0.22916666666666666</v>
      </c>
      <c r="D5" s="99">
        <v>2.0833333333333332E-2</v>
      </c>
      <c r="E5" s="100">
        <v>19</v>
      </c>
      <c r="F5" s="100">
        <v>60</v>
      </c>
      <c r="G5" s="100">
        <v>15</v>
      </c>
      <c r="H5" s="100">
        <f>E5*I5</f>
        <v>76</v>
      </c>
      <c r="I5" s="88">
        <f>F5/G5</f>
        <v>4</v>
      </c>
      <c r="J5" s="94">
        <v>1</v>
      </c>
      <c r="K5" s="95">
        <v>0.22916666666666666</v>
      </c>
      <c r="L5" s="95">
        <v>2.0833333333333332E-2</v>
      </c>
      <c r="M5" s="96">
        <v>19</v>
      </c>
      <c r="N5" s="96">
        <v>60</v>
      </c>
      <c r="O5" s="96">
        <v>30</v>
      </c>
      <c r="P5" s="96">
        <f>M5*Q5</f>
        <v>38</v>
      </c>
      <c r="Q5" s="94">
        <f>N5/O5</f>
        <v>2</v>
      </c>
      <c r="R5" s="86">
        <f>H5*K28</f>
        <v>19380</v>
      </c>
      <c r="S5" s="86">
        <f>P5*L28</f>
        <v>3952</v>
      </c>
      <c r="T5" s="101">
        <f>SUM(H5*K28)+(P5*L28)</f>
        <v>23332</v>
      </c>
    </row>
    <row r="6" spans="1:20" x14ac:dyDescent="0.25">
      <c r="A6" s="88" t="s">
        <v>32</v>
      </c>
      <c r="B6" s="88">
        <v>1</v>
      </c>
      <c r="C6" s="99">
        <v>0.22916666666666666</v>
      </c>
      <c r="D6" s="99">
        <v>2.0833333333333332E-2</v>
      </c>
      <c r="E6" s="100">
        <v>19</v>
      </c>
      <c r="F6" s="100">
        <v>60</v>
      </c>
      <c r="G6" s="100">
        <v>15</v>
      </c>
      <c r="H6" s="100">
        <f>E6*I6</f>
        <v>76</v>
      </c>
      <c r="I6" s="88">
        <f>F6/G6</f>
        <v>4</v>
      </c>
      <c r="J6" s="94">
        <v>1</v>
      </c>
      <c r="K6" s="95">
        <v>0.22916666666666666</v>
      </c>
      <c r="L6" s="95">
        <v>2.0833333333333332E-2</v>
      </c>
      <c r="M6" s="96">
        <v>19</v>
      </c>
      <c r="N6" s="96">
        <v>60</v>
      </c>
      <c r="O6" s="96">
        <v>30</v>
      </c>
      <c r="P6" s="96">
        <f>M6*Q6</f>
        <v>38</v>
      </c>
      <c r="Q6" s="94">
        <f>N6/O6</f>
        <v>2</v>
      </c>
      <c r="R6" s="86">
        <f>H6*K28</f>
        <v>19380</v>
      </c>
      <c r="S6" s="86">
        <f>P6*L28</f>
        <v>3952</v>
      </c>
      <c r="T6" s="101">
        <f>SUM(H6*K28)+(P6*L28)</f>
        <v>23332</v>
      </c>
    </row>
    <row r="7" spans="1:20" x14ac:dyDescent="0.25">
      <c r="A7" s="88" t="s">
        <v>33</v>
      </c>
      <c r="B7" s="88">
        <v>1</v>
      </c>
      <c r="C7" s="99">
        <v>0.22916666666666666</v>
      </c>
      <c r="D7" s="99">
        <v>2.0833333333333332E-2</v>
      </c>
      <c r="E7" s="100">
        <v>19</v>
      </c>
      <c r="F7" s="100">
        <v>60</v>
      </c>
      <c r="G7" s="100">
        <v>15</v>
      </c>
      <c r="H7" s="100">
        <f t="shared" ref="H7:H10" si="0">E7*I7</f>
        <v>76</v>
      </c>
      <c r="I7" s="88">
        <f t="shared" ref="I7:I25" si="1">F7/G7</f>
        <v>4</v>
      </c>
      <c r="J7" s="94">
        <v>1</v>
      </c>
      <c r="K7" s="95">
        <v>0.22916666666666666</v>
      </c>
      <c r="L7" s="95">
        <v>2.0833333333333332E-2</v>
      </c>
      <c r="M7" s="96">
        <v>19</v>
      </c>
      <c r="N7" s="96">
        <v>60</v>
      </c>
      <c r="O7" s="96">
        <v>30</v>
      </c>
      <c r="P7" s="96">
        <f t="shared" ref="P7:P25" si="2">M7*Q7</f>
        <v>38</v>
      </c>
      <c r="Q7" s="94">
        <f t="shared" ref="Q7:Q25" si="3">N7/O7</f>
        <v>2</v>
      </c>
      <c r="R7" s="86">
        <f>H7*K28</f>
        <v>19380</v>
      </c>
      <c r="S7" s="86">
        <f>P7*L28</f>
        <v>3952</v>
      </c>
      <c r="T7" s="101">
        <f>SUM(H7*K28)+(P7*L28)</f>
        <v>23332</v>
      </c>
    </row>
    <row r="8" spans="1:20" x14ac:dyDescent="0.25">
      <c r="A8" s="88" t="s">
        <v>34</v>
      </c>
      <c r="B8" s="88">
        <v>1</v>
      </c>
      <c r="C8" s="99">
        <v>0.22916666666666666</v>
      </c>
      <c r="D8" s="99">
        <v>2.0833333333333332E-2</v>
      </c>
      <c r="E8" s="100">
        <v>19</v>
      </c>
      <c r="F8" s="100">
        <v>60</v>
      </c>
      <c r="G8" s="100">
        <v>15</v>
      </c>
      <c r="H8" s="100">
        <f t="shared" si="0"/>
        <v>76</v>
      </c>
      <c r="I8" s="88">
        <f t="shared" si="1"/>
        <v>4</v>
      </c>
      <c r="J8" s="94">
        <v>1</v>
      </c>
      <c r="K8" s="95">
        <v>0.22916666666666666</v>
      </c>
      <c r="L8" s="95">
        <v>2.0833333333333332E-2</v>
      </c>
      <c r="M8" s="96">
        <v>19</v>
      </c>
      <c r="N8" s="96">
        <v>60</v>
      </c>
      <c r="O8" s="96">
        <v>30</v>
      </c>
      <c r="P8" s="96">
        <f t="shared" si="2"/>
        <v>38</v>
      </c>
      <c r="Q8" s="94">
        <f t="shared" si="3"/>
        <v>2</v>
      </c>
      <c r="R8" s="86">
        <f>H8*K28</f>
        <v>19380</v>
      </c>
      <c r="S8" s="86">
        <f>P8*L28</f>
        <v>3952</v>
      </c>
      <c r="T8" s="101">
        <f>SUM(H8*K28)+(P8*L28)</f>
        <v>23332</v>
      </c>
    </row>
    <row r="9" spans="1:20" x14ac:dyDescent="0.25">
      <c r="A9" s="88" t="s">
        <v>35</v>
      </c>
      <c r="B9" s="88">
        <v>1</v>
      </c>
      <c r="C9" s="99">
        <v>0.22916666666666666</v>
      </c>
      <c r="D9" s="99">
        <v>2.0833333333333332E-2</v>
      </c>
      <c r="E9" s="100">
        <v>19</v>
      </c>
      <c r="F9" s="100">
        <v>60</v>
      </c>
      <c r="G9" s="100">
        <v>15</v>
      </c>
      <c r="H9" s="100">
        <f t="shared" si="0"/>
        <v>76</v>
      </c>
      <c r="I9" s="88">
        <f t="shared" si="1"/>
        <v>4</v>
      </c>
      <c r="J9" s="94">
        <v>1</v>
      </c>
      <c r="K9" s="95">
        <v>0.22916666666666666</v>
      </c>
      <c r="L9" s="95">
        <v>2.0833333333333332E-2</v>
      </c>
      <c r="M9" s="96">
        <v>19</v>
      </c>
      <c r="N9" s="96">
        <v>60</v>
      </c>
      <c r="O9" s="96">
        <v>30</v>
      </c>
      <c r="P9" s="96">
        <f t="shared" si="2"/>
        <v>38</v>
      </c>
      <c r="Q9" s="94">
        <f t="shared" si="3"/>
        <v>2</v>
      </c>
      <c r="R9" s="86">
        <f>H9*K28</f>
        <v>19380</v>
      </c>
      <c r="S9" s="86">
        <f>P9*L28</f>
        <v>3952</v>
      </c>
      <c r="T9" s="101">
        <f>SUM(H9*K28)+(P9*L28)</f>
        <v>23332</v>
      </c>
    </row>
    <row r="10" spans="1:20" x14ac:dyDescent="0.25">
      <c r="A10" s="88" t="s">
        <v>36</v>
      </c>
      <c r="B10" s="88">
        <v>1</v>
      </c>
      <c r="C10" s="99">
        <v>0.22916666666666666</v>
      </c>
      <c r="D10" s="99">
        <v>2.0833333333333332E-2</v>
      </c>
      <c r="E10" s="100">
        <v>19</v>
      </c>
      <c r="F10" s="100">
        <v>60</v>
      </c>
      <c r="G10" s="100">
        <v>15</v>
      </c>
      <c r="H10" s="100">
        <f t="shared" si="0"/>
        <v>76</v>
      </c>
      <c r="I10" s="88">
        <f t="shared" si="1"/>
        <v>4</v>
      </c>
      <c r="J10" s="94">
        <v>1</v>
      </c>
      <c r="K10" s="95">
        <v>0.22916666666666666</v>
      </c>
      <c r="L10" s="95">
        <v>2.0833333333333332E-2</v>
      </c>
      <c r="M10" s="96">
        <v>19</v>
      </c>
      <c r="N10" s="96">
        <v>60</v>
      </c>
      <c r="O10" s="96">
        <v>30</v>
      </c>
      <c r="P10" s="96">
        <f t="shared" si="2"/>
        <v>38</v>
      </c>
      <c r="Q10" s="94">
        <f t="shared" si="3"/>
        <v>2</v>
      </c>
      <c r="R10" s="86">
        <f>H10*K28</f>
        <v>19380</v>
      </c>
      <c r="S10" s="86">
        <f>P10*L28</f>
        <v>3952</v>
      </c>
      <c r="T10" s="101">
        <f>SUM(H10*K28)+(P10*L28)</f>
        <v>23332</v>
      </c>
    </row>
    <row r="11" spans="1:20" x14ac:dyDescent="0.25">
      <c r="A11" s="88" t="s">
        <v>37</v>
      </c>
      <c r="B11" s="88">
        <v>1</v>
      </c>
      <c r="C11" s="99">
        <v>0.22916666666666666</v>
      </c>
      <c r="D11" s="99">
        <v>2.0833333333333332E-2</v>
      </c>
      <c r="E11" s="100">
        <v>19</v>
      </c>
      <c r="F11" s="100">
        <v>60</v>
      </c>
      <c r="G11" s="100">
        <v>15</v>
      </c>
      <c r="H11" s="100">
        <f>E11*I11</f>
        <v>76</v>
      </c>
      <c r="I11" s="88">
        <f t="shared" si="1"/>
        <v>4</v>
      </c>
      <c r="J11" s="94">
        <v>1</v>
      </c>
      <c r="K11" s="95">
        <v>0.22916666666666666</v>
      </c>
      <c r="L11" s="95">
        <v>2.0833333333333332E-2</v>
      </c>
      <c r="M11" s="96">
        <v>19</v>
      </c>
      <c r="N11" s="96">
        <v>60</v>
      </c>
      <c r="O11" s="96">
        <v>30</v>
      </c>
      <c r="P11" s="96">
        <f t="shared" si="2"/>
        <v>38</v>
      </c>
      <c r="Q11" s="94">
        <f t="shared" si="3"/>
        <v>2</v>
      </c>
      <c r="R11" s="86">
        <f>H11*K28</f>
        <v>19380</v>
      </c>
      <c r="S11" s="86">
        <f>P11*L28</f>
        <v>3952</v>
      </c>
      <c r="T11" s="101">
        <f>SUM(H11*K28)+(P11*L28)</f>
        <v>23332</v>
      </c>
    </row>
    <row r="12" spans="1:20" x14ac:dyDescent="0.25">
      <c r="A12" s="88" t="s">
        <v>45</v>
      </c>
      <c r="B12" s="88">
        <v>1</v>
      </c>
      <c r="C12" s="99">
        <v>0.1875</v>
      </c>
      <c r="D12" s="99">
        <v>0.10416666666666667</v>
      </c>
      <c r="E12" s="100">
        <v>22</v>
      </c>
      <c r="F12" s="100">
        <v>60</v>
      </c>
      <c r="G12" s="100">
        <v>15</v>
      </c>
      <c r="H12" s="100">
        <f>E12*I12</f>
        <v>88</v>
      </c>
      <c r="I12" s="88">
        <f t="shared" si="1"/>
        <v>4</v>
      </c>
      <c r="J12" s="94">
        <v>1</v>
      </c>
      <c r="K12" s="95">
        <v>0.1875</v>
      </c>
      <c r="L12" s="95">
        <v>0.10416666666666667</v>
      </c>
      <c r="M12" s="96">
        <v>22</v>
      </c>
      <c r="N12" s="96">
        <v>60</v>
      </c>
      <c r="O12" s="96">
        <v>30</v>
      </c>
      <c r="P12" s="96">
        <f t="shared" si="2"/>
        <v>44</v>
      </c>
      <c r="Q12" s="94">
        <f t="shared" si="3"/>
        <v>2</v>
      </c>
      <c r="R12" s="86">
        <f>H12*K28</f>
        <v>22440</v>
      </c>
      <c r="S12" s="86">
        <f>P12*L28</f>
        <v>4576</v>
      </c>
      <c r="T12" s="101">
        <f>SUM(H12*K28)+(P12*L28)</f>
        <v>27016</v>
      </c>
    </row>
    <row r="13" spans="1:20" x14ac:dyDescent="0.25">
      <c r="A13" s="88" t="s">
        <v>38</v>
      </c>
      <c r="B13" s="88">
        <v>7</v>
      </c>
      <c r="C13" s="99">
        <v>0.22916666666666666</v>
      </c>
      <c r="D13" s="99">
        <v>2.0833333333333332E-2</v>
      </c>
      <c r="E13" s="100">
        <v>19</v>
      </c>
      <c r="F13" s="100">
        <v>120</v>
      </c>
      <c r="G13" s="100">
        <v>15</v>
      </c>
      <c r="H13" s="100">
        <f t="shared" ref="H13:H25" si="4">E13*I13</f>
        <v>152</v>
      </c>
      <c r="I13" s="88">
        <f t="shared" si="1"/>
        <v>8</v>
      </c>
      <c r="J13" s="94">
        <v>7</v>
      </c>
      <c r="K13" s="95">
        <v>0.22916666666666666</v>
      </c>
      <c r="L13" s="95">
        <v>2.0833333333333332E-2</v>
      </c>
      <c r="M13" s="96">
        <v>19</v>
      </c>
      <c r="N13" s="96">
        <v>120</v>
      </c>
      <c r="O13" s="96">
        <v>30</v>
      </c>
      <c r="P13" s="96">
        <f t="shared" si="2"/>
        <v>76</v>
      </c>
      <c r="Q13" s="94">
        <f t="shared" si="3"/>
        <v>4</v>
      </c>
      <c r="R13" s="86">
        <f>H13*K28</f>
        <v>38760</v>
      </c>
      <c r="S13" s="86">
        <f>P13*L28</f>
        <v>7904</v>
      </c>
      <c r="T13" s="101">
        <f>SUM(H13*K28)+(P13*L28)</f>
        <v>46664</v>
      </c>
    </row>
    <row r="14" spans="1:20" x14ac:dyDescent="0.25">
      <c r="A14" s="88" t="s">
        <v>27</v>
      </c>
      <c r="B14" s="88">
        <v>7</v>
      </c>
      <c r="C14" s="99">
        <v>0.22916666666666699</v>
      </c>
      <c r="D14" s="99">
        <v>2.0833333333333301E-2</v>
      </c>
      <c r="E14" s="100">
        <v>19</v>
      </c>
      <c r="F14" s="100">
        <v>60</v>
      </c>
      <c r="G14" s="100">
        <v>15</v>
      </c>
      <c r="H14" s="100">
        <f t="shared" si="4"/>
        <v>76</v>
      </c>
      <c r="I14" s="88">
        <f t="shared" si="1"/>
        <v>4</v>
      </c>
      <c r="J14" s="94">
        <v>7</v>
      </c>
      <c r="K14" s="95">
        <v>0.22916666666666666</v>
      </c>
      <c r="L14" s="95">
        <v>2.0833333333333332E-2</v>
      </c>
      <c r="M14" s="96">
        <v>19</v>
      </c>
      <c r="N14" s="96">
        <v>60</v>
      </c>
      <c r="O14" s="96">
        <v>30</v>
      </c>
      <c r="P14" s="96">
        <f t="shared" si="2"/>
        <v>38</v>
      </c>
      <c r="Q14" s="94">
        <f t="shared" si="3"/>
        <v>2</v>
      </c>
      <c r="R14" s="86">
        <f>H14*K28</f>
        <v>19380</v>
      </c>
      <c r="S14" s="86">
        <f>P14*L28</f>
        <v>3952</v>
      </c>
      <c r="T14" s="101">
        <f>SUM(H14*K28)+(P14*L28)</f>
        <v>23332</v>
      </c>
    </row>
    <row r="15" spans="1:20" x14ac:dyDescent="0.25">
      <c r="A15" s="88" t="s">
        <v>28</v>
      </c>
      <c r="B15" s="88">
        <v>7</v>
      </c>
      <c r="C15" s="99">
        <v>0.22916666666666699</v>
      </c>
      <c r="D15" s="99">
        <v>2.0833333333333301E-2</v>
      </c>
      <c r="E15" s="100">
        <v>19</v>
      </c>
      <c r="F15" s="100">
        <v>30</v>
      </c>
      <c r="G15" s="100">
        <v>15</v>
      </c>
      <c r="H15" s="100">
        <f t="shared" si="4"/>
        <v>38</v>
      </c>
      <c r="I15" s="88">
        <f t="shared" si="1"/>
        <v>2</v>
      </c>
      <c r="J15" s="94">
        <v>7</v>
      </c>
      <c r="K15" s="95">
        <v>0.22916666666666666</v>
      </c>
      <c r="L15" s="95">
        <v>2.0833333333333332E-2</v>
      </c>
      <c r="M15" s="96">
        <v>19</v>
      </c>
      <c r="N15" s="96">
        <v>30</v>
      </c>
      <c r="O15" s="96">
        <v>15</v>
      </c>
      <c r="P15" s="96">
        <f t="shared" si="2"/>
        <v>38</v>
      </c>
      <c r="Q15" s="94">
        <f t="shared" si="3"/>
        <v>2</v>
      </c>
      <c r="R15" s="86">
        <f>H15*K28</f>
        <v>9690</v>
      </c>
      <c r="S15" s="86">
        <f>P15*L28</f>
        <v>3952</v>
      </c>
      <c r="T15" s="101">
        <f>SUM(H15*K28)+(P15*L28)</f>
        <v>13642</v>
      </c>
    </row>
    <row r="16" spans="1:20" x14ac:dyDescent="0.25">
      <c r="A16" s="88" t="s">
        <v>29</v>
      </c>
      <c r="B16" s="88">
        <v>7</v>
      </c>
      <c r="C16" s="99">
        <v>0.22916666666666699</v>
      </c>
      <c r="D16" s="99">
        <v>2.0833333333333301E-2</v>
      </c>
      <c r="E16" s="100">
        <v>19</v>
      </c>
      <c r="F16" s="100">
        <v>60</v>
      </c>
      <c r="G16" s="100">
        <v>15</v>
      </c>
      <c r="H16" s="100">
        <f t="shared" si="4"/>
        <v>76</v>
      </c>
      <c r="I16" s="88">
        <f t="shared" si="1"/>
        <v>4</v>
      </c>
      <c r="J16" s="94">
        <v>7</v>
      </c>
      <c r="K16" s="95">
        <v>0.22916666666666666</v>
      </c>
      <c r="L16" s="95">
        <v>2.0833333333333332E-2</v>
      </c>
      <c r="M16" s="96">
        <v>19</v>
      </c>
      <c r="N16" s="96">
        <v>60</v>
      </c>
      <c r="O16" s="96">
        <v>30</v>
      </c>
      <c r="P16" s="96">
        <f t="shared" si="2"/>
        <v>38</v>
      </c>
      <c r="Q16" s="94">
        <f t="shared" si="3"/>
        <v>2</v>
      </c>
      <c r="R16" s="86">
        <f>H16*K28</f>
        <v>19380</v>
      </c>
      <c r="S16" s="86">
        <f>P16*L28</f>
        <v>3952</v>
      </c>
      <c r="T16" s="101">
        <f>SUM(H16*K28)+(P16*L28)</f>
        <v>23332</v>
      </c>
    </row>
    <row r="17" spans="1:20" x14ac:dyDescent="0.25">
      <c r="A17" s="88" t="s">
        <v>30</v>
      </c>
      <c r="B17" s="88">
        <v>7</v>
      </c>
      <c r="C17" s="99">
        <v>0.22916666666666699</v>
      </c>
      <c r="D17" s="99">
        <v>2.0833333333333301E-2</v>
      </c>
      <c r="E17" s="100">
        <v>19</v>
      </c>
      <c r="F17" s="100">
        <v>60</v>
      </c>
      <c r="G17" s="100">
        <v>15</v>
      </c>
      <c r="H17" s="100">
        <f t="shared" si="4"/>
        <v>76</v>
      </c>
      <c r="I17" s="88">
        <f t="shared" si="1"/>
        <v>4</v>
      </c>
      <c r="J17" s="94">
        <v>7</v>
      </c>
      <c r="K17" s="95">
        <v>0.22916666666666666</v>
      </c>
      <c r="L17" s="95">
        <v>2.0833333333333332E-2</v>
      </c>
      <c r="M17" s="96">
        <v>19</v>
      </c>
      <c r="N17" s="96">
        <v>60</v>
      </c>
      <c r="O17" s="96">
        <v>30</v>
      </c>
      <c r="P17" s="96">
        <f t="shared" si="2"/>
        <v>38</v>
      </c>
      <c r="Q17" s="94">
        <f t="shared" si="3"/>
        <v>2</v>
      </c>
      <c r="R17" s="86">
        <f>H17*K28</f>
        <v>19380</v>
      </c>
      <c r="S17" s="86">
        <f>P17*L28</f>
        <v>3952</v>
      </c>
      <c r="T17" s="101">
        <f>SUM(H17*K28)+(P17*L28)</f>
        <v>23332</v>
      </c>
    </row>
    <row r="18" spans="1:20" x14ac:dyDescent="0.25">
      <c r="A18" s="88" t="s">
        <v>39</v>
      </c>
      <c r="B18" s="88">
        <v>7</v>
      </c>
      <c r="C18" s="99">
        <v>0.22916666666666699</v>
      </c>
      <c r="D18" s="99">
        <v>2.0833333333333301E-2</v>
      </c>
      <c r="E18" s="100">
        <v>19</v>
      </c>
      <c r="F18" s="100">
        <v>60</v>
      </c>
      <c r="G18" s="100">
        <v>15</v>
      </c>
      <c r="H18" s="100">
        <f t="shared" si="4"/>
        <v>76</v>
      </c>
      <c r="I18" s="88">
        <f t="shared" si="1"/>
        <v>4</v>
      </c>
      <c r="J18" s="94">
        <v>7</v>
      </c>
      <c r="K18" s="95">
        <v>0.22916666666666666</v>
      </c>
      <c r="L18" s="95">
        <v>2.0833333333333332E-2</v>
      </c>
      <c r="M18" s="96">
        <v>19</v>
      </c>
      <c r="N18" s="96">
        <v>60</v>
      </c>
      <c r="O18" s="96">
        <v>30</v>
      </c>
      <c r="P18" s="96">
        <f t="shared" si="2"/>
        <v>38</v>
      </c>
      <c r="Q18" s="94">
        <f t="shared" si="3"/>
        <v>2</v>
      </c>
      <c r="R18" s="86">
        <f>H18*K28</f>
        <v>19380</v>
      </c>
      <c r="S18" s="86">
        <f>P18*L28</f>
        <v>3952</v>
      </c>
      <c r="T18" s="101">
        <f>SUM(H18*K28)+(P18*L28)</f>
        <v>23332</v>
      </c>
    </row>
    <row r="19" spans="1:20" x14ac:dyDescent="0.25">
      <c r="A19" s="88" t="s">
        <v>44</v>
      </c>
      <c r="B19" s="88">
        <v>7</v>
      </c>
      <c r="C19" s="99">
        <v>0.22916666666666699</v>
      </c>
      <c r="D19" s="99">
        <v>2.0833333333333301E-2</v>
      </c>
      <c r="E19" s="100">
        <v>19</v>
      </c>
      <c r="F19" s="100">
        <v>90</v>
      </c>
      <c r="G19" s="100">
        <v>15</v>
      </c>
      <c r="H19" s="100">
        <f t="shared" si="4"/>
        <v>114</v>
      </c>
      <c r="I19" s="88">
        <f t="shared" si="1"/>
        <v>6</v>
      </c>
      <c r="J19" s="94">
        <v>7</v>
      </c>
      <c r="K19" s="95">
        <v>0.22916666666666666</v>
      </c>
      <c r="L19" s="95">
        <v>2.0833333333333332E-2</v>
      </c>
      <c r="M19" s="96">
        <v>19</v>
      </c>
      <c r="N19" s="96">
        <v>90</v>
      </c>
      <c r="O19" s="96">
        <v>15</v>
      </c>
      <c r="P19" s="96">
        <f t="shared" si="2"/>
        <v>114</v>
      </c>
      <c r="Q19" s="94">
        <f t="shared" si="3"/>
        <v>6</v>
      </c>
      <c r="R19" s="86">
        <f>H19*K28</f>
        <v>29070</v>
      </c>
      <c r="S19" s="86">
        <f>P19*L28</f>
        <v>11856</v>
      </c>
      <c r="T19" s="101">
        <f>SUM(H19*K28)+(P19*L28)</f>
        <v>40926</v>
      </c>
    </row>
    <row r="20" spans="1:20" x14ac:dyDescent="0.25">
      <c r="A20" s="88" t="s">
        <v>40</v>
      </c>
      <c r="B20" s="88">
        <v>7</v>
      </c>
      <c r="C20" s="99">
        <v>0.22916666666666699</v>
      </c>
      <c r="D20" s="99">
        <v>2.0833333333333301E-2</v>
      </c>
      <c r="E20" s="100">
        <v>19</v>
      </c>
      <c r="F20" s="100">
        <v>60</v>
      </c>
      <c r="G20" s="100">
        <v>15</v>
      </c>
      <c r="H20" s="100">
        <f t="shared" si="4"/>
        <v>76</v>
      </c>
      <c r="I20" s="88">
        <f t="shared" si="1"/>
        <v>4</v>
      </c>
      <c r="J20" s="94">
        <v>7</v>
      </c>
      <c r="K20" s="95">
        <v>0.22916666666666666</v>
      </c>
      <c r="L20" s="95">
        <v>2.0833333333333332E-2</v>
      </c>
      <c r="M20" s="96">
        <v>19</v>
      </c>
      <c r="N20" s="96">
        <v>60</v>
      </c>
      <c r="O20" s="96">
        <v>30</v>
      </c>
      <c r="P20" s="96">
        <f t="shared" si="2"/>
        <v>38</v>
      </c>
      <c r="Q20" s="94">
        <f t="shared" si="3"/>
        <v>2</v>
      </c>
      <c r="R20" s="86">
        <f>H20*K28</f>
        <v>19380</v>
      </c>
      <c r="S20" s="86">
        <f>P20*L28</f>
        <v>3952</v>
      </c>
      <c r="T20" s="101">
        <f>SUM(H20*K28)+(P20*L28)</f>
        <v>23332</v>
      </c>
    </row>
    <row r="21" spans="1:20" x14ac:dyDescent="0.25">
      <c r="A21" s="88" t="s">
        <v>41</v>
      </c>
      <c r="B21" s="88">
        <v>12</v>
      </c>
      <c r="C21" s="99">
        <v>0.22916666666666699</v>
      </c>
      <c r="D21" s="99">
        <v>2.0833333333333301E-2</v>
      </c>
      <c r="E21" s="100">
        <v>19</v>
      </c>
      <c r="F21" s="100">
        <v>60</v>
      </c>
      <c r="G21" s="100">
        <v>15</v>
      </c>
      <c r="H21" s="100">
        <f t="shared" si="4"/>
        <v>76</v>
      </c>
      <c r="I21" s="88">
        <f t="shared" si="1"/>
        <v>4</v>
      </c>
      <c r="J21" s="94">
        <v>12</v>
      </c>
      <c r="K21" s="95">
        <v>0.22916666666666666</v>
      </c>
      <c r="L21" s="95">
        <v>2.0833333333333332E-2</v>
      </c>
      <c r="M21" s="96">
        <v>19</v>
      </c>
      <c r="N21" s="96">
        <v>60</v>
      </c>
      <c r="O21" s="96">
        <v>30</v>
      </c>
      <c r="P21" s="96">
        <f t="shared" si="2"/>
        <v>38</v>
      </c>
      <c r="Q21" s="94">
        <f t="shared" si="3"/>
        <v>2</v>
      </c>
      <c r="R21" s="86">
        <f>H21*K28</f>
        <v>19380</v>
      </c>
      <c r="S21" s="86">
        <f>P21*L28</f>
        <v>3952</v>
      </c>
      <c r="T21" s="101">
        <f>SUM(H21*K28)+(P21*L28)</f>
        <v>23332</v>
      </c>
    </row>
    <row r="22" spans="1:20" x14ac:dyDescent="0.25">
      <c r="A22" s="88" t="s">
        <v>42</v>
      </c>
      <c r="B22" s="88">
        <v>12</v>
      </c>
      <c r="C22" s="99">
        <v>0.22916666666666699</v>
      </c>
      <c r="D22" s="99">
        <v>2.0833333333333301E-2</v>
      </c>
      <c r="E22" s="100">
        <v>19</v>
      </c>
      <c r="F22" s="100">
        <v>120</v>
      </c>
      <c r="G22" s="100">
        <v>15</v>
      </c>
      <c r="H22" s="100">
        <f t="shared" si="4"/>
        <v>152</v>
      </c>
      <c r="I22" s="88">
        <f t="shared" si="1"/>
        <v>8</v>
      </c>
      <c r="J22" s="94">
        <v>12</v>
      </c>
      <c r="K22" s="95">
        <v>0.22916666666666666</v>
      </c>
      <c r="L22" s="95">
        <v>2.0833333333333332E-2</v>
      </c>
      <c r="M22" s="96">
        <v>19</v>
      </c>
      <c r="N22" s="96">
        <v>60</v>
      </c>
      <c r="O22" s="96">
        <v>30</v>
      </c>
      <c r="P22" s="96">
        <f t="shared" si="2"/>
        <v>38</v>
      </c>
      <c r="Q22" s="94">
        <f t="shared" si="3"/>
        <v>2</v>
      </c>
      <c r="R22" s="86">
        <f>H22*K28</f>
        <v>38760</v>
      </c>
      <c r="S22" s="86">
        <f>P22*L28</f>
        <v>3952</v>
      </c>
      <c r="T22" s="101">
        <f>SUM(H22*K28)+(P22*L28)</f>
        <v>42712</v>
      </c>
    </row>
    <row r="23" spans="1:20" x14ac:dyDescent="0.25">
      <c r="A23" s="88" t="s">
        <v>46</v>
      </c>
      <c r="B23" s="88">
        <v>12</v>
      </c>
      <c r="C23" s="99">
        <v>0.22916666666666699</v>
      </c>
      <c r="D23" s="99">
        <v>2.0833333333333301E-2</v>
      </c>
      <c r="E23" s="100">
        <v>19</v>
      </c>
      <c r="F23" s="100">
        <v>90</v>
      </c>
      <c r="G23" s="100">
        <v>45</v>
      </c>
      <c r="H23" s="100">
        <f t="shared" si="4"/>
        <v>38</v>
      </c>
      <c r="I23" s="88">
        <f t="shared" si="1"/>
        <v>2</v>
      </c>
      <c r="J23" s="94">
        <v>12</v>
      </c>
      <c r="K23" s="95">
        <v>0.22916666666666666</v>
      </c>
      <c r="L23" s="95">
        <v>2.0833333333333332E-2</v>
      </c>
      <c r="M23" s="96">
        <v>19</v>
      </c>
      <c r="N23" s="96">
        <v>90</v>
      </c>
      <c r="O23" s="96">
        <v>90</v>
      </c>
      <c r="P23" s="96">
        <f t="shared" si="2"/>
        <v>19</v>
      </c>
      <c r="Q23" s="94">
        <f t="shared" si="3"/>
        <v>1</v>
      </c>
      <c r="R23" s="86">
        <f>H23*K28</f>
        <v>9690</v>
      </c>
      <c r="S23" s="86">
        <f>P23*L28</f>
        <v>1976</v>
      </c>
      <c r="T23" s="101">
        <f>SUM(H23*K28)+(P23*L31)</f>
        <v>9690</v>
      </c>
    </row>
    <row r="24" spans="1:20" x14ac:dyDescent="0.25">
      <c r="A24" s="88" t="s">
        <v>47</v>
      </c>
      <c r="B24" s="88">
        <v>12</v>
      </c>
      <c r="C24" s="99">
        <v>0.1875</v>
      </c>
      <c r="D24" s="99" t="s">
        <v>124</v>
      </c>
      <c r="E24" s="100">
        <v>22</v>
      </c>
      <c r="F24" s="100">
        <v>90</v>
      </c>
      <c r="G24" s="100">
        <v>15</v>
      </c>
      <c r="H24" s="100">
        <f t="shared" si="4"/>
        <v>132</v>
      </c>
      <c r="I24" s="88">
        <f t="shared" si="1"/>
        <v>6</v>
      </c>
      <c r="J24" s="94">
        <v>12</v>
      </c>
      <c r="K24" s="95">
        <v>0.1875</v>
      </c>
      <c r="L24" s="95">
        <v>0.10416666666666667</v>
      </c>
      <c r="M24" s="96">
        <v>22</v>
      </c>
      <c r="N24" s="96">
        <v>90</v>
      </c>
      <c r="O24" s="96">
        <v>30</v>
      </c>
      <c r="P24" s="96">
        <f t="shared" si="2"/>
        <v>66</v>
      </c>
      <c r="Q24" s="94">
        <f t="shared" si="3"/>
        <v>3</v>
      </c>
      <c r="R24" s="86">
        <f>H24*K28</f>
        <v>33660</v>
      </c>
      <c r="S24" s="86">
        <f>P24*L28</f>
        <v>6864</v>
      </c>
      <c r="T24" s="101">
        <f>SUM(H24*K28)+(P24*L28)</f>
        <v>40524</v>
      </c>
    </row>
    <row r="25" spans="1:20" x14ac:dyDescent="0.25">
      <c r="A25" s="88">
        <v>401</v>
      </c>
      <c r="B25" s="88">
        <v>15</v>
      </c>
      <c r="C25" s="99">
        <v>0.22916666666666699</v>
      </c>
      <c r="D25" s="99">
        <v>2.0833333333333301E-2</v>
      </c>
      <c r="E25" s="100">
        <v>19</v>
      </c>
      <c r="F25" s="100">
        <v>30</v>
      </c>
      <c r="G25" s="100">
        <v>15</v>
      </c>
      <c r="H25" s="100">
        <f t="shared" si="4"/>
        <v>38</v>
      </c>
      <c r="I25" s="88">
        <f t="shared" si="1"/>
        <v>2</v>
      </c>
      <c r="J25" s="94">
        <v>15</v>
      </c>
      <c r="K25" s="95">
        <v>0.22916666666666666</v>
      </c>
      <c r="L25" s="95">
        <v>2.0833333333333332E-2</v>
      </c>
      <c r="M25" s="96">
        <v>19</v>
      </c>
      <c r="N25" s="96">
        <v>30</v>
      </c>
      <c r="O25" s="96">
        <v>30</v>
      </c>
      <c r="P25" s="96">
        <f t="shared" si="2"/>
        <v>19</v>
      </c>
      <c r="Q25" s="94">
        <f t="shared" si="3"/>
        <v>1</v>
      </c>
      <c r="R25" s="86">
        <f>H25*K28</f>
        <v>9690</v>
      </c>
      <c r="S25" s="86">
        <f>P25*L28</f>
        <v>1976</v>
      </c>
      <c r="T25" s="101">
        <f>SUM(H25*K28)+(P25*L28)</f>
        <v>11666</v>
      </c>
    </row>
    <row r="26" spans="1:20" x14ac:dyDescent="0.25">
      <c r="I26" s="86">
        <f>SUM(I5:I25)</f>
        <v>90</v>
      </c>
      <c r="Q26" s="86">
        <f>SUM(Q5:Q25)</f>
        <v>47</v>
      </c>
      <c r="R26" s="86">
        <f>SUM(R5:R25)</f>
        <v>443700</v>
      </c>
      <c r="S26" s="86">
        <f>SUM(S5:S25)</f>
        <v>94432</v>
      </c>
      <c r="T26" s="102">
        <f>SUM(T5:T25)</f>
        <v>536156</v>
      </c>
    </row>
    <row r="27" spans="1:20" ht="45" x14ac:dyDescent="0.25">
      <c r="K27" s="101" t="s">
        <v>104</v>
      </c>
      <c r="L27" s="101" t="s">
        <v>105</v>
      </c>
    </row>
    <row r="28" spans="1:20" x14ac:dyDescent="0.25">
      <c r="K28" s="101">
        <v>255</v>
      </c>
      <c r="L28" s="101">
        <v>104</v>
      </c>
    </row>
    <row r="30" spans="1:20" x14ac:dyDescent="0.25">
      <c r="J30" s="83" t="s">
        <v>129</v>
      </c>
      <c r="K30" s="103">
        <v>94.95</v>
      </c>
    </row>
    <row r="31" spans="1:20" x14ac:dyDescent="0.25">
      <c r="J31" s="84" t="s">
        <v>130</v>
      </c>
      <c r="K31" s="104">
        <v>97.04</v>
      </c>
    </row>
    <row r="32" spans="1:20" x14ac:dyDescent="0.25">
      <c r="J32" s="84" t="s">
        <v>131</v>
      </c>
      <c r="K32" s="104">
        <v>99.17</v>
      </c>
    </row>
    <row r="33" spans="10:11" x14ac:dyDescent="0.25">
      <c r="J33" s="84" t="s">
        <v>132</v>
      </c>
      <c r="K33" s="104">
        <v>101.36</v>
      </c>
    </row>
    <row r="34" spans="10:11" x14ac:dyDescent="0.25">
      <c r="J34" s="84" t="s">
        <v>133</v>
      </c>
      <c r="K34" s="104">
        <v>103.59</v>
      </c>
    </row>
    <row r="35" spans="10:11" x14ac:dyDescent="0.25">
      <c r="J35" s="84" t="s">
        <v>134</v>
      </c>
      <c r="K35" s="104">
        <v>105.86</v>
      </c>
    </row>
    <row r="36" spans="10:11" x14ac:dyDescent="0.25">
      <c r="J36" s="84" t="s">
        <v>135</v>
      </c>
      <c r="K36" s="104">
        <v>108.19</v>
      </c>
    </row>
  </sheetData>
  <mergeCells count="2">
    <mergeCell ref="B3:I3"/>
    <mergeCell ref="J3:Q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"/>
  <sheetViews>
    <sheetView topLeftCell="C1" workbookViewId="0">
      <selection activeCell="I8" sqref="G8:I8"/>
    </sheetView>
  </sheetViews>
  <sheetFormatPr defaultRowHeight="15" x14ac:dyDescent="0.25"/>
  <cols>
    <col min="2" max="2" width="45.7109375" bestFit="1" customWidth="1"/>
    <col min="3" max="3" width="10" bestFit="1" customWidth="1"/>
    <col min="6" max="6" width="26.85546875" bestFit="1" customWidth="1"/>
    <col min="7" max="9" width="9.140625" style="34"/>
    <col min="10" max="12" width="9.140625" style="1"/>
    <col min="13" max="15" width="9.140625" style="2"/>
    <col min="16" max="17" width="9.140625" style="63"/>
    <col min="18" max="22" width="9.140625" style="4"/>
    <col min="23" max="26" width="9.140625" style="64"/>
  </cols>
  <sheetData>
    <row r="2" spans="2:26" x14ac:dyDescent="0.25">
      <c r="B2" t="s">
        <v>55</v>
      </c>
      <c r="Q2" s="62"/>
    </row>
    <row r="3" spans="2:26" x14ac:dyDescent="0.25">
      <c r="B3" t="s">
        <v>56</v>
      </c>
      <c r="C3" t="s">
        <v>57</v>
      </c>
      <c r="D3" t="s">
        <v>58</v>
      </c>
    </row>
    <row r="4" spans="2:26" x14ac:dyDescent="0.25">
      <c r="B4" t="s">
        <v>59</v>
      </c>
      <c r="C4">
        <v>5</v>
      </c>
      <c r="D4">
        <v>125000</v>
      </c>
    </row>
    <row r="5" spans="2:26" x14ac:dyDescent="0.25">
      <c r="B5" t="s">
        <v>60</v>
      </c>
      <c r="C5" t="s">
        <v>61</v>
      </c>
      <c r="D5">
        <v>67500</v>
      </c>
    </row>
    <row r="6" spans="2:26" x14ac:dyDescent="0.25">
      <c r="B6" t="s">
        <v>62</v>
      </c>
      <c r="C6" t="s">
        <v>63</v>
      </c>
      <c r="D6">
        <v>54000</v>
      </c>
    </row>
    <row r="7" spans="2:26" x14ac:dyDescent="0.25">
      <c r="F7" s="61"/>
      <c r="G7" s="43" t="s">
        <v>7</v>
      </c>
      <c r="H7" s="43" t="s">
        <v>8</v>
      </c>
      <c r="I7" s="43" t="s">
        <v>9</v>
      </c>
      <c r="J7" s="65" t="s">
        <v>10</v>
      </c>
      <c r="K7" s="65" t="s">
        <v>11</v>
      </c>
      <c r="L7" s="65" t="s">
        <v>12</v>
      </c>
      <c r="M7" s="66" t="s">
        <v>13</v>
      </c>
      <c r="N7" s="66" t="s">
        <v>14</v>
      </c>
      <c r="O7" s="66" t="s">
        <v>15</v>
      </c>
      <c r="P7" s="67" t="s">
        <v>16</v>
      </c>
      <c r="Q7" s="67" t="s">
        <v>17</v>
      </c>
      <c r="R7" s="68" t="s">
        <v>18</v>
      </c>
      <c r="S7" s="68" t="s">
        <v>19</v>
      </c>
      <c r="T7" s="68" t="s">
        <v>20</v>
      </c>
      <c r="U7" s="68" t="s">
        <v>21</v>
      </c>
      <c r="V7" s="68" t="s">
        <v>22</v>
      </c>
      <c r="W7" s="69" t="s">
        <v>23</v>
      </c>
      <c r="X7" s="69" t="s">
        <v>24</v>
      </c>
      <c r="Y7" s="69" t="s">
        <v>25</v>
      </c>
      <c r="Z7" s="69" t="s">
        <v>26</v>
      </c>
    </row>
    <row r="8" spans="2:26" x14ac:dyDescent="0.25">
      <c r="F8" s="61" t="s">
        <v>64</v>
      </c>
      <c r="G8" s="43">
        <v>54000</v>
      </c>
      <c r="H8" s="43">
        <v>57000</v>
      </c>
      <c r="I8" s="43">
        <v>58000</v>
      </c>
      <c r="J8" s="65">
        <v>59000</v>
      </c>
      <c r="K8" s="65">
        <v>61000</v>
      </c>
      <c r="L8" s="65">
        <v>62000</v>
      </c>
      <c r="M8" s="66">
        <v>63000</v>
      </c>
      <c r="N8" s="66">
        <v>65000</v>
      </c>
      <c r="O8" s="66">
        <v>66000</v>
      </c>
      <c r="P8" s="67">
        <v>68000</v>
      </c>
      <c r="Q8" s="67">
        <v>69000</v>
      </c>
      <c r="R8" s="68">
        <v>71000</v>
      </c>
      <c r="S8" s="68">
        <v>72000</v>
      </c>
      <c r="T8" s="68">
        <v>74000</v>
      </c>
      <c r="U8" s="68">
        <v>75000</v>
      </c>
      <c r="V8" s="68">
        <v>77000</v>
      </c>
      <c r="W8" s="69">
        <v>79000</v>
      </c>
      <c r="X8" s="69">
        <v>80000</v>
      </c>
      <c r="Y8" s="69">
        <v>82000</v>
      </c>
      <c r="Z8" s="69">
        <v>84000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8"/>
  <sheetViews>
    <sheetView workbookViewId="0">
      <selection activeCell="G7" sqref="G7"/>
    </sheetView>
  </sheetViews>
  <sheetFormatPr defaultRowHeight="15" x14ac:dyDescent="0.25"/>
  <cols>
    <col min="3" max="3" width="13.28515625" customWidth="1"/>
    <col min="4" max="4" width="16.85546875" bestFit="1" customWidth="1"/>
    <col min="5" max="5" width="12" bestFit="1" customWidth="1"/>
    <col min="7" max="7" width="14.7109375" bestFit="1" customWidth="1"/>
    <col min="21" max="21" width="13.7109375" bestFit="1" customWidth="1"/>
    <col min="26" max="26" width="11" style="82" bestFit="1" customWidth="1"/>
    <col min="27" max="30" width="8.85546875" style="82"/>
    <col min="31" max="31" width="13.7109375" style="82" bestFit="1" customWidth="1"/>
    <col min="32" max="35" width="8.85546875" style="82"/>
    <col min="36" max="36" width="10" bestFit="1" customWidth="1"/>
  </cols>
  <sheetData>
    <row r="2" spans="2:37" ht="15.75" thickBot="1" x14ac:dyDescent="0.3">
      <c r="D2">
        <v>2019</v>
      </c>
      <c r="E2" s="82">
        <f t="shared" ref="E2:P2" si="0">F2-1</f>
        <v>2020</v>
      </c>
      <c r="F2" s="82">
        <f t="shared" si="0"/>
        <v>2021</v>
      </c>
      <c r="G2" s="82">
        <f t="shared" si="0"/>
        <v>2022</v>
      </c>
      <c r="H2" s="82">
        <f t="shared" si="0"/>
        <v>2023</v>
      </c>
      <c r="I2" s="82">
        <f t="shared" si="0"/>
        <v>2024</v>
      </c>
      <c r="J2" s="82">
        <f t="shared" si="0"/>
        <v>2025</v>
      </c>
      <c r="K2" s="82">
        <f t="shared" si="0"/>
        <v>2026</v>
      </c>
      <c r="L2" s="82">
        <f t="shared" si="0"/>
        <v>2027</v>
      </c>
      <c r="M2" s="82">
        <f t="shared" si="0"/>
        <v>2028</v>
      </c>
      <c r="N2" s="82">
        <f t="shared" si="0"/>
        <v>2029</v>
      </c>
      <c r="O2" s="82">
        <f t="shared" si="0"/>
        <v>2030</v>
      </c>
      <c r="P2" s="82">
        <f t="shared" si="0"/>
        <v>2031</v>
      </c>
      <c r="Q2" s="82">
        <f t="shared" ref="Q2:X2" si="1">R2-1</f>
        <v>2032</v>
      </c>
      <c r="R2" s="82">
        <f t="shared" si="1"/>
        <v>2033</v>
      </c>
      <c r="S2" s="82">
        <f t="shared" si="1"/>
        <v>2034</v>
      </c>
      <c r="T2" s="82">
        <f t="shared" si="1"/>
        <v>2035</v>
      </c>
      <c r="U2" s="82">
        <f t="shared" si="1"/>
        <v>2036</v>
      </c>
      <c r="V2" s="82">
        <f t="shared" si="1"/>
        <v>2037</v>
      </c>
      <c r="W2" s="82">
        <f t="shared" si="1"/>
        <v>2038</v>
      </c>
      <c r="X2" s="82">
        <f t="shared" si="1"/>
        <v>2039</v>
      </c>
      <c r="Y2">
        <f>Z2-1</f>
        <v>2040</v>
      </c>
      <c r="Z2" s="82">
        <v>2041</v>
      </c>
      <c r="AA2" s="82">
        <f>Z2+1</f>
        <v>2042</v>
      </c>
      <c r="AB2" s="82">
        <f t="shared" ref="AB2:AI2" si="2">AA2+1</f>
        <v>2043</v>
      </c>
      <c r="AC2" s="82">
        <f t="shared" si="2"/>
        <v>2044</v>
      </c>
      <c r="AD2" s="82">
        <f t="shared" si="2"/>
        <v>2045</v>
      </c>
      <c r="AE2" s="82">
        <f t="shared" si="2"/>
        <v>2046</v>
      </c>
      <c r="AF2" s="82">
        <f t="shared" si="2"/>
        <v>2047</v>
      </c>
      <c r="AG2" s="82">
        <f t="shared" si="2"/>
        <v>2048</v>
      </c>
      <c r="AH2" s="82">
        <f t="shared" si="2"/>
        <v>2049</v>
      </c>
      <c r="AI2" s="82">
        <f t="shared" si="2"/>
        <v>2050</v>
      </c>
      <c r="AJ2" t="s">
        <v>58</v>
      </c>
    </row>
    <row r="3" spans="2:37" ht="15.75" thickBot="1" x14ac:dyDescent="0.3">
      <c r="B3" s="70" t="s">
        <v>66</v>
      </c>
      <c r="C3" s="46"/>
      <c r="D3" s="46">
        <v>34101720.760000005</v>
      </c>
      <c r="E3" s="46">
        <v>34545043.129880004</v>
      </c>
      <c r="F3" s="46">
        <v>34994128.69056844</v>
      </c>
      <c r="G3" s="46">
        <v>35449052.363545828</v>
      </c>
      <c r="H3" s="46">
        <v>35909890.044271916</v>
      </c>
      <c r="I3" s="46">
        <v>36376718.614847444</v>
      </c>
      <c r="J3" s="46">
        <v>36849615.956840456</v>
      </c>
      <c r="K3" s="46">
        <v>37328660.964279376</v>
      </c>
      <c r="L3" s="46">
        <v>37813933.556815006</v>
      </c>
      <c r="M3" s="46">
        <v>38305514.693053596</v>
      </c>
      <c r="N3" s="46">
        <v>38803486.384063289</v>
      </c>
      <c r="O3" s="46">
        <v>39307931.707056105</v>
      </c>
      <c r="P3" s="46">
        <v>39818934.819247827</v>
      </c>
      <c r="Q3" s="46">
        <v>40336580.971898042</v>
      </c>
      <c r="R3" s="46">
        <v>40860956.524532713</v>
      </c>
      <c r="S3" s="46">
        <v>41392148.959351636</v>
      </c>
      <c r="T3" s="46">
        <v>41930246.895823203</v>
      </c>
      <c r="U3" s="46">
        <v>42475340.105468899</v>
      </c>
      <c r="V3" s="46">
        <v>43027519.526839994</v>
      </c>
      <c r="W3" s="46">
        <v>43586877.280688912</v>
      </c>
      <c r="X3" s="46">
        <v>44153506.685337864</v>
      </c>
      <c r="Y3" s="46">
        <v>44727502.272247255</v>
      </c>
      <c r="Z3" s="135">
        <f>FORECAST(Z$2:AI$2,D$3:Y$3,D$2:Y$2)</f>
        <v>44998893.504848242</v>
      </c>
      <c r="AA3" s="135">
        <f t="shared" ref="AA3:AI3" si="3">FORECAST(AA$2:AJ$2,E$3:Z$3,E$2:Z$2)</f>
        <v>45527503.430058837</v>
      </c>
      <c r="AB3" s="135">
        <f t="shared" si="3"/>
        <v>46056761.99380374</v>
      </c>
      <c r="AC3" s="135">
        <f t="shared" si="3"/>
        <v>46586278.272844195</v>
      </c>
      <c r="AD3" s="135">
        <f t="shared" si="3"/>
        <v>47115664.473795652</v>
      </c>
      <c r="AE3" s="135">
        <f t="shared" si="3"/>
        <v>47644542.653316379</v>
      </c>
      <c r="AF3" s="135">
        <f t="shared" si="3"/>
        <v>48172552.63346529</v>
      </c>
      <c r="AG3" s="135">
        <f t="shared" si="3"/>
        <v>48699361.242439747</v>
      </c>
      <c r="AH3" s="135">
        <f t="shared" si="3"/>
        <v>49224673.019057274</v>
      </c>
      <c r="AI3" s="135">
        <f t="shared" si="3"/>
        <v>49748242.527295232</v>
      </c>
      <c r="AJ3" s="46">
        <v>793449000</v>
      </c>
      <c r="AK3" s="71" t="s">
        <v>67</v>
      </c>
    </row>
    <row r="4" spans="2:37" ht="15.75" thickBot="1" x14ac:dyDescent="0.3">
      <c r="B4" s="72" t="s">
        <v>68</v>
      </c>
      <c r="C4" s="45"/>
      <c r="D4" s="45">
        <v>2176759</v>
      </c>
      <c r="E4" s="45">
        <v>2205056.8669999996</v>
      </c>
      <c r="F4" s="45">
        <v>2233722.6062709992</v>
      </c>
      <c r="G4" s="45">
        <v>2262761.0001525218</v>
      </c>
      <c r="H4" s="45">
        <v>2292176.8931545042</v>
      </c>
      <c r="I4" s="45">
        <v>2321975.1927655125</v>
      </c>
      <c r="J4" s="45">
        <v>2352160.8702714639</v>
      </c>
      <c r="K4" s="45">
        <v>2382738.9615849927</v>
      </c>
      <c r="L4" s="45">
        <v>2413714.5680855974</v>
      </c>
      <c r="M4" s="45">
        <v>2445092.8574707098</v>
      </c>
      <c r="N4" s="45">
        <v>2476879.0646178289</v>
      </c>
      <c r="O4" s="45">
        <v>2509078.4924578606</v>
      </c>
      <c r="P4" s="45">
        <v>2541696.5128598125</v>
      </c>
      <c r="Q4" s="45">
        <v>2574738.5675269896</v>
      </c>
      <c r="R4" s="45">
        <v>2608210.16890484</v>
      </c>
      <c r="S4" s="45">
        <v>2642116.9011006025</v>
      </c>
      <c r="T4" s="45">
        <v>2676464.42081491</v>
      </c>
      <c r="U4" s="45">
        <v>2711258.4582855036</v>
      </c>
      <c r="V4" s="45">
        <v>2746504.8182432149</v>
      </c>
      <c r="W4" s="45">
        <v>2782209.3808803763</v>
      </c>
      <c r="X4" s="45">
        <v>2818378.102831821</v>
      </c>
      <c r="Y4" s="45">
        <v>2855017.0181686343</v>
      </c>
      <c r="Z4" s="135">
        <f>FORECAST(Z$2:AI$2,D$4:Y$4,D$2:Y$2)</f>
        <v>2872340.2879309654</v>
      </c>
      <c r="AA4" s="135">
        <f t="shared" ref="AA4:AI4" si="4">FORECAST(AA$2:AJ$2,E$4:Z$4,E$2:Z$2)</f>
        <v>2906082.1750424579</v>
      </c>
      <c r="AB4" s="135">
        <f t="shared" si="4"/>
        <v>2939865.4656296596</v>
      </c>
      <c r="AC4" s="135">
        <f t="shared" si="4"/>
        <v>2973665.206533052</v>
      </c>
      <c r="AD4" s="135">
        <f t="shared" si="4"/>
        <v>3007456.6443759426</v>
      </c>
      <c r="AE4" s="135">
        <f t="shared" si="4"/>
        <v>3041215.6545231789</v>
      </c>
      <c r="AF4" s="135">
        <f t="shared" si="4"/>
        <v>3074919.2463292256</v>
      </c>
      <c r="AG4" s="135">
        <f t="shared" si="4"/>
        <v>3108546.152986899</v>
      </c>
      <c r="AH4" s="135">
        <f t="shared" si="4"/>
        <v>3142077.5148089454</v>
      </c>
      <c r="AI4" s="135">
        <f t="shared" si="4"/>
        <v>3175497.6652818099</v>
      </c>
      <c r="AJ4" s="45">
        <v>52852000</v>
      </c>
      <c r="AK4" s="73" t="s">
        <v>69</v>
      </c>
    </row>
    <row r="5" spans="2:37" x14ac:dyDescent="0.25">
      <c r="B5" s="72" t="s">
        <v>70</v>
      </c>
      <c r="C5" s="45"/>
      <c r="D5" s="45">
        <v>683869</v>
      </c>
      <c r="E5" s="45">
        <v>692759.2969999999</v>
      </c>
      <c r="F5" s="45">
        <v>701765.16786099982</v>
      </c>
      <c r="G5" s="45">
        <v>710888.11504319275</v>
      </c>
      <c r="H5" s="45">
        <v>720129.66053875419</v>
      </c>
      <c r="I5" s="45">
        <v>729491.3461257579</v>
      </c>
      <c r="J5" s="45">
        <v>738974.73362539266</v>
      </c>
      <c r="K5" s="45">
        <v>748581.40516252269</v>
      </c>
      <c r="L5" s="45">
        <v>758312.96342963539</v>
      </c>
      <c r="M5" s="45">
        <v>768171.03195422061</v>
      </c>
      <c r="N5" s="45">
        <v>778157.2553696254</v>
      </c>
      <c r="O5" s="45">
        <v>788273.29968943051</v>
      </c>
      <c r="P5" s="45">
        <v>798520.852585393</v>
      </c>
      <c r="Q5" s="45">
        <v>808901.62366900302</v>
      </c>
      <c r="R5" s="45">
        <v>819417.34477670002</v>
      </c>
      <c r="S5" s="45">
        <v>830069.77025879698</v>
      </c>
      <c r="T5" s="45">
        <v>840860.67727216124</v>
      </c>
      <c r="U5" s="45">
        <v>851791.86607669923</v>
      </c>
      <c r="V5" s="45">
        <v>862865.16033569619</v>
      </c>
      <c r="W5" s="45">
        <v>874082.40742006013</v>
      </c>
      <c r="X5" s="45">
        <v>885445.47871652083</v>
      </c>
      <c r="Y5" s="45">
        <v>896956.26993983553</v>
      </c>
      <c r="Z5" s="135">
        <f>FORECAST(Z$2:AI$2,D$5:Y$5,D$2:Y$2)</f>
        <v>902398.69474161044</v>
      </c>
      <c r="AA5" s="135">
        <f t="shared" ref="AA5:AI5" si="5">FORECAST(AA$2:AJ$2,E$5:Z$5,E$2:Z$2)</f>
        <v>912999.33109917492</v>
      </c>
      <c r="AB5" s="135">
        <f t="shared" si="5"/>
        <v>923612.97512250394</v>
      </c>
      <c r="AC5" s="135">
        <f t="shared" si="5"/>
        <v>934231.78731616586</v>
      </c>
      <c r="AD5" s="135">
        <f t="shared" si="5"/>
        <v>944847.99095017835</v>
      </c>
      <c r="AE5" s="135">
        <f t="shared" si="5"/>
        <v>955454.0068253316</v>
      </c>
      <c r="AF5" s="135">
        <f t="shared" si="5"/>
        <v>966042.61200616136</v>
      </c>
      <c r="AG5" s="135">
        <f t="shared" si="5"/>
        <v>976607.12513281778</v>
      </c>
      <c r="AH5" s="135">
        <f t="shared" si="5"/>
        <v>987141.62108661234</v>
      </c>
      <c r="AI5" s="135">
        <f t="shared" si="5"/>
        <v>997641.17794326693</v>
      </c>
      <c r="AJ5" s="45">
        <v>16605000</v>
      </c>
      <c r="AK5" s="73" t="s">
        <v>71</v>
      </c>
    </row>
    <row r="6" spans="2:37" ht="15.75" thickBot="1" x14ac:dyDescent="0.3">
      <c r="B6" s="74"/>
      <c r="C6" s="75"/>
      <c r="D6" s="75">
        <f>D4+D5</f>
        <v>2860628</v>
      </c>
      <c r="E6" s="75">
        <f t="shared" ref="E6:T6" si="6">E4+E5</f>
        <v>2897816.1639999994</v>
      </c>
      <c r="F6" s="75">
        <f t="shared" si="6"/>
        <v>2935487.7741319989</v>
      </c>
      <c r="G6" s="75">
        <f t="shared" si="6"/>
        <v>2973649.1151957144</v>
      </c>
      <c r="H6" s="75">
        <f t="shared" si="6"/>
        <v>3012306.5536932582</v>
      </c>
      <c r="I6" s="75">
        <f t="shared" si="6"/>
        <v>3051466.5388912703</v>
      </c>
      <c r="J6" s="75">
        <f t="shared" si="6"/>
        <v>3091135.6038968563</v>
      </c>
      <c r="K6" s="75">
        <f t="shared" si="6"/>
        <v>3131320.3667475153</v>
      </c>
      <c r="L6" s="75">
        <f t="shared" si="6"/>
        <v>3172027.5315152328</v>
      </c>
      <c r="M6" s="75">
        <f t="shared" si="6"/>
        <v>3213263.8894249303</v>
      </c>
      <c r="N6" s="75">
        <f t="shared" si="6"/>
        <v>3255036.3199874545</v>
      </c>
      <c r="O6" s="75">
        <f t="shared" si="6"/>
        <v>3297351.7921472909</v>
      </c>
      <c r="P6" s="75">
        <f t="shared" si="6"/>
        <v>3340217.3654452055</v>
      </c>
      <c r="Q6" s="75">
        <f t="shared" si="6"/>
        <v>3383640.1911959928</v>
      </c>
      <c r="R6" s="75">
        <f t="shared" si="6"/>
        <v>3427627.5136815403</v>
      </c>
      <c r="S6" s="75">
        <f t="shared" si="6"/>
        <v>3472186.6713593993</v>
      </c>
      <c r="T6" s="75">
        <f t="shared" si="6"/>
        <v>3517325.0980870714</v>
      </c>
      <c r="U6" s="75">
        <f t="shared" ref="U6" si="7">U4+U5</f>
        <v>3563050.3243622025</v>
      </c>
      <c r="V6" s="75">
        <f t="shared" ref="V6" si="8">V4+V5</f>
        <v>3609369.9785789112</v>
      </c>
      <c r="W6" s="75">
        <f t="shared" ref="W6" si="9">W4+W5</f>
        <v>3656291.7883004365</v>
      </c>
      <c r="X6" s="75">
        <f t="shared" ref="X6" si="10">X4+X5</f>
        <v>3703823.5815483415</v>
      </c>
      <c r="Y6" s="75">
        <f t="shared" ref="Y6" si="11">Y4+Y5</f>
        <v>3751973.2881084699</v>
      </c>
      <c r="Z6" s="136">
        <f t="shared" ref="Z6" si="12">Z4+Z5</f>
        <v>3774738.9826725759</v>
      </c>
      <c r="AA6" s="136">
        <f t="shared" ref="AA6" si="13">AA4+AA5</f>
        <v>3819081.5061416328</v>
      </c>
      <c r="AB6" s="136">
        <f t="shared" ref="AB6" si="14">AB4+AB5</f>
        <v>3863478.4407521635</v>
      </c>
      <c r="AC6" s="136">
        <f t="shared" ref="AC6" si="15">AC4+AC5</f>
        <v>3907896.9938492179</v>
      </c>
      <c r="AD6" s="136">
        <f t="shared" ref="AD6" si="16">AD4+AD5</f>
        <v>3952304.635326121</v>
      </c>
      <c r="AE6" s="136">
        <f t="shared" ref="AE6" si="17">AE4+AE5</f>
        <v>3996669.6613485105</v>
      </c>
      <c r="AF6" s="136">
        <f t="shared" ref="AF6" si="18">AF4+AF5</f>
        <v>4040961.858335387</v>
      </c>
      <c r="AG6" s="136">
        <f t="shared" ref="AG6" si="19">AG4+AG5</f>
        <v>4085153.2781197168</v>
      </c>
      <c r="AH6" s="136">
        <f t="shared" ref="AH6" si="20">AH4+AH5</f>
        <v>4129219.1358955577</v>
      </c>
      <c r="AI6" s="136">
        <f t="shared" ref="AI6" si="21">AI4+AI5</f>
        <v>4173138.8432250768</v>
      </c>
      <c r="AJ6" s="75">
        <v>862906000</v>
      </c>
      <c r="AK6" s="76" t="s">
        <v>72</v>
      </c>
    </row>
    <row r="7" spans="2:37" x14ac:dyDescent="0.25">
      <c r="G7" s="134">
        <f>SUM(G6:T6)</f>
        <v>45338554.551268727</v>
      </c>
      <c r="U7" s="134">
        <f>SUM(U6:AD6)</f>
        <v>37602009.519640073</v>
      </c>
      <c r="AE7" s="134">
        <f>SUM(AE6:AI6)</f>
        <v>20425142.776924249</v>
      </c>
    </row>
    <row r="8" spans="2:37" x14ac:dyDescent="0.25">
      <c r="G8" s="134">
        <f>SUM(K3:T3)</f>
        <v>395898395.47612083</v>
      </c>
      <c r="U8" s="134">
        <f>SUM(U3:AD3)</f>
        <v>448255847.5459336</v>
      </c>
      <c r="AE8" s="134">
        <f>SUM(AE3:AI3)</f>
        <v>243489372.07557392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Table 1</vt:lpstr>
      <vt:lpstr>Phase 1</vt:lpstr>
      <vt:lpstr>Phase 2</vt:lpstr>
      <vt:lpstr>Phase 3</vt:lpstr>
      <vt:lpstr>Phase 4</vt:lpstr>
      <vt:lpstr>Phase 5</vt:lpstr>
      <vt:lpstr>Phase 6</vt:lpstr>
      <vt:lpstr>Vanpool</vt:lpstr>
      <vt:lpstr>Funding</vt:lpstr>
      <vt:lpstr>Formulas &amp; References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Tippet Poe</dc:creator>
  <cp:lastModifiedBy>COC_MPO</cp:lastModifiedBy>
  <cp:lastPrinted>2020-10-14T15:14:29Z</cp:lastPrinted>
  <dcterms:created xsi:type="dcterms:W3CDTF">2020-01-10T19:17:45Z</dcterms:created>
  <dcterms:modified xsi:type="dcterms:W3CDTF">2022-03-09T21:03:50Z</dcterms:modified>
</cp:coreProperties>
</file>